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antar\Desktop\Document\IZBORI 2016 - SKUPŠTINA OPŠTINE\33. седница со 13.09.2019\"/>
    </mc:Choice>
  </mc:AlternateContent>
  <bookViews>
    <workbookView xWindow="0" yWindow="0" windowWidth="21570" windowHeight="8145"/>
  </bookViews>
  <sheets>
    <sheet name="РЕБ 3, септембар 19" sheetId="1" r:id="rId1"/>
    <sheet name="Посебан део- циљеви и индикатор" sheetId="3" r:id="rId2"/>
  </sheets>
  <definedNames>
    <definedName name="Programi">OFFSET(#REF!,0,0,COUNTA(#REF!),1)</definedName>
  </definedNames>
  <calcPr calcId="152511"/>
</workbook>
</file>

<file path=xl/calcChain.xml><?xml version="1.0" encoding="utf-8"?>
<calcChain xmlns="http://schemas.openxmlformats.org/spreadsheetml/2006/main">
  <c r="L1795" i="1" l="1"/>
  <c r="L1741" i="1"/>
  <c r="L481" i="1"/>
  <c r="J482" i="1"/>
  <c r="J480" i="1"/>
  <c r="L994" i="1"/>
  <c r="L993" i="1"/>
  <c r="J958" i="1"/>
  <c r="L958" i="1" s="1"/>
  <c r="L366" i="1"/>
  <c r="L919" i="1"/>
  <c r="L1679" i="1"/>
  <c r="J642" i="1"/>
  <c r="L643" i="1"/>
  <c r="L1805" i="1"/>
  <c r="J2266" i="1"/>
  <c r="L2268" i="1"/>
  <c r="L1387" i="1"/>
  <c r="L2130" i="1"/>
  <c r="J1740" i="1"/>
  <c r="L809" i="1"/>
  <c r="G168" i="3" l="1"/>
  <c r="G20" i="3" l="1"/>
  <c r="G19" i="3"/>
  <c r="G18" i="3"/>
  <c r="G48" i="3"/>
  <c r="C48" i="3"/>
  <c r="J58" i="1"/>
  <c r="J57" i="1"/>
  <c r="J346" i="1"/>
  <c r="L1539" i="1"/>
  <c r="J1068" i="1" l="1"/>
  <c r="J529" i="1" l="1"/>
  <c r="J524" i="1"/>
  <c r="L523" i="1"/>
  <c r="J518" i="1"/>
  <c r="L517" i="1"/>
  <c r="J512" i="1"/>
  <c r="L511" i="1"/>
  <c r="L505" i="1"/>
  <c r="J506" i="1"/>
  <c r="J1553" i="1" l="1"/>
  <c r="J1552" i="1"/>
  <c r="L2212" i="1"/>
  <c r="J377" i="1"/>
  <c r="J2217" i="1"/>
  <c r="J2216" i="1"/>
  <c r="J746" i="1"/>
  <c r="J822" i="1"/>
  <c r="J2127" i="1"/>
  <c r="J2128" i="1" s="1"/>
  <c r="J358" i="1" l="1"/>
  <c r="J665" i="1"/>
  <c r="L664" i="1"/>
  <c r="J663" i="1"/>
  <c r="L663" i="1" s="1"/>
  <c r="L662" i="1"/>
  <c r="L665" i="1" l="1"/>
  <c r="H48" i="3" s="1"/>
  <c r="F48" i="3"/>
  <c r="J37" i="1"/>
  <c r="G98" i="3" l="1"/>
  <c r="C98" i="3"/>
  <c r="L1069" i="1"/>
  <c r="J1067" i="1"/>
  <c r="L1068" i="1" s="1"/>
  <c r="L1066" i="1"/>
  <c r="L1067" i="1" s="1"/>
  <c r="H98" i="3" s="1"/>
  <c r="F98" i="3" l="1"/>
  <c r="K56" i="1"/>
  <c r="G236" i="3" l="1"/>
  <c r="G278" i="3"/>
  <c r="C278" i="3"/>
  <c r="G223" i="3"/>
  <c r="C236" i="3"/>
  <c r="C223" i="3"/>
  <c r="G215" i="3"/>
  <c r="G214" i="3"/>
  <c r="C215" i="3"/>
  <c r="C214" i="3"/>
  <c r="C144" i="3"/>
  <c r="G147" i="3"/>
  <c r="C147" i="3"/>
  <c r="G117" i="3"/>
  <c r="G116" i="3"/>
  <c r="C117" i="3"/>
  <c r="C116" i="3"/>
  <c r="C107" i="3"/>
  <c r="G52" i="3"/>
  <c r="G64" i="3"/>
  <c r="G65" i="3"/>
  <c r="G79" i="3"/>
  <c r="G92" i="3"/>
  <c r="C92" i="3"/>
  <c r="C79" i="3"/>
  <c r="C65" i="3"/>
  <c r="C64" i="3"/>
  <c r="C52" i="3"/>
  <c r="F50" i="3"/>
  <c r="G26" i="3"/>
  <c r="F26" i="3"/>
  <c r="C26" i="3"/>
  <c r="J2000" i="1" l="1"/>
  <c r="J1947" i="1"/>
  <c r="L1946" i="1"/>
  <c r="L2302" i="1"/>
  <c r="L2303" i="1" s="1"/>
  <c r="H278" i="3" s="1"/>
  <c r="J2302" i="1"/>
  <c r="J2303" i="1" s="1"/>
  <c r="F278" i="3" s="1"/>
  <c r="L2301" i="1"/>
  <c r="J1167" i="1"/>
  <c r="J1319" i="1"/>
  <c r="L1947" i="1" l="1"/>
  <c r="H214" i="3" s="1"/>
  <c r="F214" i="3"/>
  <c r="J1948" i="1"/>
  <c r="L1948" i="1" s="1"/>
  <c r="J2029" i="1"/>
  <c r="L752" i="1"/>
  <c r="J753" i="1"/>
  <c r="L751" i="1"/>
  <c r="J1346" i="1"/>
  <c r="F147" i="3" s="1"/>
  <c r="L1345" i="1"/>
  <c r="J1345" i="1"/>
  <c r="L1346" i="1" s="1"/>
  <c r="H147" i="3" s="1"/>
  <c r="L1344" i="1"/>
  <c r="L1343" i="1"/>
  <c r="L463" i="1"/>
  <c r="J464" i="1"/>
  <c r="J1963" i="1"/>
  <c r="L1962" i="1"/>
  <c r="J2142" i="1"/>
  <c r="J2137" i="1"/>
  <c r="L2136" i="1"/>
  <c r="L2134" i="1"/>
  <c r="J2045" i="1"/>
  <c r="L2045" i="1" s="1"/>
  <c r="L2044" i="1"/>
  <c r="L1999" i="1"/>
  <c r="J972" i="1"/>
  <c r="L971" i="1"/>
  <c r="J349" i="1"/>
  <c r="J1201" i="1"/>
  <c r="J1185" i="1"/>
  <c r="J1184" i="1"/>
  <c r="J1179" i="1"/>
  <c r="J1178" i="1"/>
  <c r="L2137" i="1" l="1"/>
  <c r="H236" i="3" s="1"/>
  <c r="F236" i="3"/>
  <c r="J754" i="1"/>
  <c r="L754" i="1" s="1"/>
  <c r="F52" i="3"/>
  <c r="L972" i="1"/>
  <c r="H79" i="3" s="1"/>
  <c r="F79" i="3"/>
  <c r="L1963" i="1"/>
  <c r="H215" i="3" s="1"/>
  <c r="F215" i="3"/>
  <c r="L753" i="1"/>
  <c r="H52" i="3" s="1"/>
  <c r="J2046" i="1"/>
  <c r="J1964" i="1"/>
  <c r="L1964" i="1" s="1"/>
  <c r="J2135" i="1"/>
  <c r="L2135" i="1" s="1"/>
  <c r="J973" i="1"/>
  <c r="L973" i="1" s="1"/>
  <c r="J1320" i="1"/>
  <c r="J1321" i="1" s="1"/>
  <c r="L1318" i="1"/>
  <c r="L1009" i="1"/>
  <c r="J1007" i="1"/>
  <c r="L1006" i="1"/>
  <c r="L1007" i="1" s="1"/>
  <c r="H92" i="3" s="1"/>
  <c r="J326" i="1"/>
  <c r="J1008" i="1" l="1"/>
  <c r="L1008" i="1" s="1"/>
  <c r="F92" i="3"/>
  <c r="L2046" i="1"/>
  <c r="H223" i="3" s="1"/>
  <c r="F223" i="3"/>
  <c r="J1365" i="1"/>
  <c r="J1331" i="1"/>
  <c r="J1330" i="1"/>
  <c r="L1324" i="1"/>
  <c r="L1201" i="1"/>
  <c r="J1180" i="1"/>
  <c r="J1181" i="1" s="1"/>
  <c r="F116" i="3" s="1"/>
  <c r="J1325" i="1"/>
  <c r="J1326" i="1" s="1"/>
  <c r="J1269" i="1"/>
  <c r="J1272" i="1" s="1"/>
  <c r="J1270" i="1" s="1"/>
  <c r="J1202" i="1"/>
  <c r="J1334" i="1" l="1"/>
  <c r="J1332" i="1" s="1"/>
  <c r="J1203" i="1"/>
  <c r="J1186" i="1"/>
  <c r="L1184" i="1"/>
  <c r="J1170" i="1"/>
  <c r="J1168" i="1" s="1"/>
  <c r="L563" i="1"/>
  <c r="L561" i="1"/>
  <c r="J834" i="1" l="1"/>
  <c r="L834" i="1" s="1"/>
  <c r="L835" i="1" s="1"/>
  <c r="H65" i="3" s="1"/>
  <c r="L833" i="1"/>
  <c r="J829" i="1"/>
  <c r="J830" i="1" s="1"/>
  <c r="F64" i="3" s="1"/>
  <c r="L828" i="1"/>
  <c r="L827" i="1"/>
  <c r="J835" i="1" l="1"/>
  <c r="F65" i="3" s="1"/>
  <c r="L829" i="1"/>
  <c r="L830" i="1" s="1"/>
  <c r="H64" i="3" s="1"/>
  <c r="J89" i="1" l="1"/>
  <c r="L630" i="1" l="1"/>
  <c r="J631" i="1"/>
  <c r="L631" i="1" s="1"/>
  <c r="G221" i="3" l="1"/>
  <c r="C221" i="3"/>
  <c r="G193" i="3"/>
  <c r="C193" i="3"/>
  <c r="G97" i="3"/>
  <c r="C97" i="3"/>
  <c r="G88" i="3"/>
  <c r="G86" i="3"/>
  <c r="G73" i="3"/>
  <c r="G63" i="3"/>
  <c r="G62" i="3"/>
  <c r="G51" i="3"/>
  <c r="G46" i="3"/>
  <c r="G40" i="3"/>
  <c r="G38" i="3"/>
  <c r="G35" i="3"/>
  <c r="G30" i="3"/>
  <c r="G27" i="3"/>
  <c r="G16" i="3"/>
  <c r="C16" i="3"/>
  <c r="G15" i="3"/>
  <c r="C15" i="3"/>
  <c r="K77" i="1"/>
  <c r="J77" i="1"/>
  <c r="J54" i="1"/>
  <c r="L2153" i="1"/>
  <c r="J2151" i="1"/>
  <c r="J2152" i="1" s="1"/>
  <c r="L2152" i="1" s="1"/>
  <c r="L2149" i="1"/>
  <c r="L2150" i="1"/>
  <c r="L2148" i="1"/>
  <c r="L2141" i="1"/>
  <c r="J2215" i="1"/>
  <c r="F221" i="3" l="1"/>
  <c r="L2151" i="1"/>
  <c r="H221" i="3" s="1"/>
  <c r="J1718" i="1"/>
  <c r="L1717" i="1"/>
  <c r="L1718" i="1" s="1"/>
  <c r="H193" i="3" s="1"/>
  <c r="J1713" i="1"/>
  <c r="L1799" i="1"/>
  <c r="L1800" i="1"/>
  <c r="L1801" i="1"/>
  <c r="J1806" i="1"/>
  <c r="J1802" i="1" s="1"/>
  <c r="J2211" i="1"/>
  <c r="L743" i="1"/>
  <c r="L740" i="1"/>
  <c r="J741" i="1"/>
  <c r="J917" i="1"/>
  <c r="J918" i="1" s="1"/>
  <c r="J2143" i="1"/>
  <c r="J2144" i="1" s="1"/>
  <c r="J455" i="1"/>
  <c r="J1061" i="1"/>
  <c r="L1060" i="1"/>
  <c r="L1061" i="1" s="1"/>
  <c r="H97" i="3" s="1"/>
  <c r="J500" i="1"/>
  <c r="L500" i="1" s="1"/>
  <c r="L501" i="1" s="1"/>
  <c r="H16" i="3" s="1"/>
  <c r="L499" i="1"/>
  <c r="L498" i="1"/>
  <c r="J494" i="1"/>
  <c r="J495" i="1" s="1"/>
  <c r="F15" i="3" s="1"/>
  <c r="L492" i="1"/>
  <c r="L493" i="1"/>
  <c r="J942" i="1"/>
  <c r="J945" i="1" s="1"/>
  <c r="J817" i="1"/>
  <c r="F62" i="3" s="1"/>
  <c r="J698" i="1"/>
  <c r="F46" i="3" s="1"/>
  <c r="J644" i="1"/>
  <c r="J641" i="1" s="1"/>
  <c r="L629" i="1"/>
  <c r="J613" i="1"/>
  <c r="L613" i="1" s="1"/>
  <c r="J587" i="1"/>
  <c r="L587" i="1" s="1"/>
  <c r="J572" i="1"/>
  <c r="F27" i="3" s="1"/>
  <c r="J2124" i="1"/>
  <c r="L2120" i="1"/>
  <c r="J2117" i="1"/>
  <c r="L2113" i="1"/>
  <c r="J2077" i="1"/>
  <c r="L2072" i="1"/>
  <c r="J1847" i="1"/>
  <c r="J1846" i="1"/>
  <c r="L1844" i="1"/>
  <c r="J1841" i="1"/>
  <c r="J1839" i="1" s="1"/>
  <c r="L1837" i="1"/>
  <c r="J1603" i="1"/>
  <c r="L1603" i="1" s="1"/>
  <c r="L1601" i="1"/>
  <c r="J1592" i="1"/>
  <c r="L1592" i="1" s="1"/>
  <c r="L1590" i="1"/>
  <c r="J1587" i="1"/>
  <c r="J1586" i="1"/>
  <c r="L1586" i="1" s="1"/>
  <c r="L1584" i="1"/>
  <c r="J1481" i="1"/>
  <c r="L1481" i="1" s="1"/>
  <c r="J1480" i="1"/>
  <c r="L1478" i="1"/>
  <c r="L1420" i="1"/>
  <c r="L1422" i="1"/>
  <c r="J1423" i="1"/>
  <c r="L1423" i="1" s="1"/>
  <c r="L1419" i="1"/>
  <c r="J1416" i="1"/>
  <c r="L1416" i="1" s="1"/>
  <c r="L1412" i="1"/>
  <c r="J1393" i="1"/>
  <c r="L1393" i="1" s="1"/>
  <c r="L1391" i="1"/>
  <c r="J1388" i="1"/>
  <c r="J1385" i="1" s="1"/>
  <c r="L1383" i="1"/>
  <c r="J1375" i="1"/>
  <c r="J1373" i="1" s="1"/>
  <c r="L1371" i="1"/>
  <c r="L1337" i="1"/>
  <c r="L1330" i="1"/>
  <c r="J1315" i="1"/>
  <c r="L1311" i="1"/>
  <c r="J1297" i="1"/>
  <c r="L1297" i="1" s="1"/>
  <c r="L1295" i="1"/>
  <c r="L1268" i="1"/>
  <c r="J1197" i="1"/>
  <c r="L1197" i="1" s="1"/>
  <c r="L1195" i="1"/>
  <c r="L1180" i="1"/>
  <c r="L1178" i="1"/>
  <c r="L1166" i="1"/>
  <c r="J1106" i="1"/>
  <c r="J1105" i="1"/>
  <c r="L1103" i="1"/>
  <c r="J1035" i="1"/>
  <c r="F88" i="3" s="1"/>
  <c r="L1031" i="1"/>
  <c r="L945" i="1" l="1"/>
  <c r="F40" i="3"/>
  <c r="J1719" i="1"/>
  <c r="L1719" i="1" s="1"/>
  <c r="F193" i="3"/>
  <c r="J742" i="1"/>
  <c r="L742" i="1" s="1"/>
  <c r="F51" i="3"/>
  <c r="J1062" i="1"/>
  <c r="L1062" i="1" s="1"/>
  <c r="F97" i="3"/>
  <c r="F73" i="3"/>
  <c r="J501" i="1"/>
  <c r="F16" i="3" s="1"/>
  <c r="L494" i="1"/>
  <c r="L495" i="1" s="1"/>
  <c r="H15" i="3" s="1"/>
  <c r="J1021" i="1"/>
  <c r="F86" i="3" s="1"/>
  <c r="L1019" i="1"/>
  <c r="L939" i="1"/>
  <c r="J823" i="1"/>
  <c r="L821" i="1"/>
  <c r="L814" i="1"/>
  <c r="L694" i="1"/>
  <c r="L639" i="1"/>
  <c r="L627" i="1"/>
  <c r="L611" i="1"/>
  <c r="L585" i="1"/>
  <c r="L568" i="1"/>
  <c r="J402" i="1"/>
  <c r="L402" i="1" s="1"/>
  <c r="L400" i="1"/>
  <c r="L383" i="1"/>
  <c r="J385" i="1"/>
  <c r="G50" i="3" l="1"/>
  <c r="G125" i="3"/>
  <c r="G146" i="3"/>
  <c r="G156" i="3"/>
  <c r="G276" i="3"/>
  <c r="G274" i="3"/>
  <c r="C276" i="3"/>
  <c r="C274" i="3"/>
  <c r="G279" i="3"/>
  <c r="G277" i="3"/>
  <c r="G275" i="3"/>
  <c r="G273" i="3"/>
  <c r="G272" i="3"/>
  <c r="G271" i="3"/>
  <c r="G270" i="3"/>
  <c r="G269" i="3"/>
  <c r="G268" i="3"/>
  <c r="G267" i="3"/>
  <c r="C279" i="3"/>
  <c r="C277" i="3"/>
  <c r="C275" i="3"/>
  <c r="C273" i="3"/>
  <c r="C272" i="3"/>
  <c r="C271" i="3"/>
  <c r="C270" i="3"/>
  <c r="C269" i="3"/>
  <c r="C268" i="3"/>
  <c r="C267" i="3"/>
  <c r="G265" i="3"/>
  <c r="G264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G240" i="3"/>
  <c r="G243" i="3"/>
  <c r="G242" i="3"/>
  <c r="G241" i="3"/>
  <c r="G229" i="3"/>
  <c r="G222" i="3"/>
  <c r="G220" i="3"/>
  <c r="G219" i="3"/>
  <c r="G218" i="3"/>
  <c r="G237" i="3"/>
  <c r="G235" i="3"/>
  <c r="G234" i="3"/>
  <c r="G233" i="3"/>
  <c r="G232" i="3"/>
  <c r="G231" i="3"/>
  <c r="G230" i="3"/>
  <c r="C237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2" i="3"/>
  <c r="C220" i="3"/>
  <c r="G209" i="3"/>
  <c r="G210" i="3"/>
  <c r="G211" i="3"/>
  <c r="G212" i="3"/>
  <c r="G213" i="3"/>
  <c r="G216" i="3"/>
  <c r="C216" i="3"/>
  <c r="C213" i="3"/>
  <c r="C212" i="3"/>
  <c r="C211" i="3"/>
  <c r="G205" i="3"/>
  <c r="G204" i="3"/>
  <c r="G203" i="3"/>
  <c r="C205" i="3"/>
  <c r="C204" i="3"/>
  <c r="C203" i="3"/>
  <c r="G201" i="3"/>
  <c r="G202" i="3"/>
  <c r="C202" i="3"/>
  <c r="G199" i="3"/>
  <c r="G198" i="3"/>
  <c r="G197" i="3"/>
  <c r="G196" i="3"/>
  <c r="G195" i="3"/>
  <c r="G194" i="3"/>
  <c r="C199" i="3"/>
  <c r="C198" i="3"/>
  <c r="C197" i="3"/>
  <c r="C196" i="3"/>
  <c r="C195" i="3"/>
  <c r="C194" i="3"/>
  <c r="G192" i="3"/>
  <c r="G191" i="3"/>
  <c r="G189" i="3"/>
  <c r="G187" i="3"/>
  <c r="G186" i="3"/>
  <c r="G183" i="3"/>
  <c r="G181" i="3"/>
  <c r="G180" i="3"/>
  <c r="G179" i="3"/>
  <c r="G178" i="3"/>
  <c r="G177" i="3"/>
  <c r="C181" i="3"/>
  <c r="C180" i="3"/>
  <c r="C179" i="3"/>
  <c r="C178" i="3"/>
  <c r="C177" i="3"/>
  <c r="G174" i="3"/>
  <c r="G173" i="3"/>
  <c r="G172" i="3"/>
  <c r="G171" i="3"/>
  <c r="G170" i="3"/>
  <c r="G169" i="3"/>
  <c r="G167" i="3"/>
  <c r="G166" i="3"/>
  <c r="G165" i="3"/>
  <c r="G164" i="3"/>
  <c r="G163" i="3"/>
  <c r="G162" i="3"/>
  <c r="G161" i="3"/>
  <c r="G160" i="3"/>
  <c r="G159" i="3"/>
  <c r="G158" i="3"/>
  <c r="G157" i="3"/>
  <c r="G155" i="3"/>
  <c r="G154" i="3"/>
  <c r="G153" i="3"/>
  <c r="G152" i="3"/>
  <c r="G151" i="3"/>
  <c r="G150" i="3"/>
  <c r="G149" i="3"/>
  <c r="G148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4" i="3"/>
  <c r="G123" i="3"/>
  <c r="G122" i="3"/>
  <c r="G121" i="3"/>
  <c r="G120" i="3"/>
  <c r="G119" i="3"/>
  <c r="G118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C168" i="3"/>
  <c r="C167" i="3"/>
  <c r="C166" i="3"/>
  <c r="C165" i="3"/>
  <c r="C106" i="3"/>
  <c r="G103" i="3"/>
  <c r="G102" i="3"/>
  <c r="G101" i="3"/>
  <c r="G100" i="3"/>
  <c r="G99" i="3"/>
  <c r="C174" i="3"/>
  <c r="C173" i="3"/>
  <c r="C172" i="3"/>
  <c r="C171" i="3"/>
  <c r="C170" i="3"/>
  <c r="C169" i="3"/>
  <c r="C164" i="3"/>
  <c r="C163" i="3"/>
  <c r="C162" i="3"/>
  <c r="C161" i="3"/>
  <c r="C160" i="3"/>
  <c r="C159" i="3"/>
  <c r="C158" i="3"/>
  <c r="F157" i="3"/>
  <c r="C157" i="3"/>
  <c r="F156" i="3"/>
  <c r="C156" i="3"/>
  <c r="G266" i="3" l="1"/>
  <c r="G200" i="3"/>
  <c r="G185" i="3"/>
  <c r="C155" i="3"/>
  <c r="C154" i="3"/>
  <c r="C153" i="3"/>
  <c r="C152" i="3"/>
  <c r="C151" i="3"/>
  <c r="C150" i="3"/>
  <c r="C149" i="3"/>
  <c r="C148" i="3"/>
  <c r="C146" i="3"/>
  <c r="C145" i="3"/>
  <c r="C143" i="3"/>
  <c r="C142" i="3"/>
  <c r="C141" i="3"/>
  <c r="C140" i="3"/>
  <c r="C139" i="3"/>
  <c r="C138" i="3"/>
  <c r="C137" i="3"/>
  <c r="F136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5" i="3"/>
  <c r="C114" i="3"/>
  <c r="C113" i="3"/>
  <c r="C112" i="3"/>
  <c r="C111" i="3"/>
  <c r="C110" i="3"/>
  <c r="C109" i="3"/>
  <c r="C108" i="3"/>
  <c r="C105" i="3"/>
  <c r="C104" i="3"/>
  <c r="C103" i="3"/>
  <c r="C102" i="3"/>
  <c r="C101" i="3"/>
  <c r="C100" i="3"/>
  <c r="C99" i="3"/>
  <c r="G96" i="3"/>
  <c r="G95" i="3"/>
  <c r="G93" i="3" l="1"/>
  <c r="G91" i="3"/>
  <c r="G90" i="3"/>
  <c r="G89" i="3"/>
  <c r="G87" i="3"/>
  <c r="G85" i="3"/>
  <c r="F91" i="3"/>
  <c r="C91" i="3"/>
  <c r="F93" i="3"/>
  <c r="C93" i="3"/>
  <c r="F90" i="3"/>
  <c r="C90" i="3"/>
  <c r="F89" i="3"/>
  <c r="C89" i="3"/>
  <c r="C88" i="3"/>
  <c r="F87" i="3"/>
  <c r="C87" i="3"/>
  <c r="C86" i="3"/>
  <c r="C85" i="3"/>
  <c r="G84" i="3"/>
  <c r="G82" i="3"/>
  <c r="G80" i="3"/>
  <c r="G78" i="3"/>
  <c r="G77" i="3"/>
  <c r="G76" i="3"/>
  <c r="G75" i="3"/>
  <c r="G74" i="3"/>
  <c r="C80" i="3"/>
  <c r="C78" i="3"/>
  <c r="C77" i="3"/>
  <c r="C76" i="3"/>
  <c r="C75" i="3"/>
  <c r="C74" i="3"/>
  <c r="G72" i="3"/>
  <c r="G70" i="3"/>
  <c r="C70" i="3"/>
  <c r="G59" i="3"/>
  <c r="F59" i="3"/>
  <c r="C59" i="3"/>
  <c r="G66" i="3"/>
  <c r="F66" i="3"/>
  <c r="C66" i="3"/>
  <c r="C63" i="3"/>
  <c r="G53" i="3"/>
  <c r="C62" i="3"/>
  <c r="G61" i="3"/>
  <c r="G60" i="3"/>
  <c r="C61" i="3"/>
  <c r="F60" i="3"/>
  <c r="C60" i="3"/>
  <c r="G58" i="3"/>
  <c r="F58" i="3"/>
  <c r="C58" i="3"/>
  <c r="G57" i="3"/>
  <c r="G56" i="3"/>
  <c r="G55" i="3"/>
  <c r="C57" i="3"/>
  <c r="F56" i="3"/>
  <c r="C56" i="3"/>
  <c r="F55" i="3"/>
  <c r="C55" i="3"/>
  <c r="F54" i="3"/>
  <c r="C54" i="3"/>
  <c r="F53" i="3"/>
  <c r="C53" i="3"/>
  <c r="G47" i="3"/>
  <c r="G45" i="3"/>
  <c r="G44" i="3"/>
  <c r="G43" i="3"/>
  <c r="G42" i="3"/>
  <c r="G41" i="3"/>
  <c r="G39" i="3"/>
  <c r="G37" i="3"/>
  <c r="G36" i="3"/>
  <c r="G34" i="3"/>
  <c r="G33" i="3"/>
  <c r="G32" i="3"/>
  <c r="G31" i="3"/>
  <c r="G29" i="3"/>
  <c r="G28" i="3"/>
  <c r="G25" i="3"/>
  <c r="G24" i="3"/>
  <c r="G23" i="3"/>
  <c r="G22" i="3"/>
  <c r="F47" i="3"/>
  <c r="C47" i="3"/>
  <c r="C46" i="3"/>
  <c r="C45" i="3"/>
  <c r="C44" i="3"/>
  <c r="F43" i="3"/>
  <c r="C43" i="3"/>
  <c r="F42" i="3"/>
  <c r="C42" i="3"/>
  <c r="F41" i="3"/>
  <c r="C41" i="3"/>
  <c r="C40" i="3"/>
  <c r="F39" i="3"/>
  <c r="C39" i="3"/>
  <c r="C38" i="3"/>
  <c r="F37" i="3"/>
  <c r="C37" i="3"/>
  <c r="F36" i="3"/>
  <c r="C36" i="3"/>
  <c r="C35" i="3"/>
  <c r="F34" i="3"/>
  <c r="C34" i="3"/>
  <c r="F33" i="3"/>
  <c r="C33" i="3"/>
  <c r="F32" i="3"/>
  <c r="C32" i="3"/>
  <c r="F31" i="3"/>
  <c r="C31" i="3"/>
  <c r="C30" i="3"/>
  <c r="F29" i="3"/>
  <c r="C29" i="3"/>
  <c r="F28" i="3"/>
  <c r="C28" i="3"/>
  <c r="C27" i="3"/>
  <c r="F25" i="3"/>
  <c r="C25" i="3"/>
  <c r="G21" i="3"/>
  <c r="F24" i="3"/>
  <c r="C24" i="3"/>
  <c r="F23" i="3"/>
  <c r="C23" i="3"/>
  <c r="F22" i="3"/>
  <c r="C22" i="3"/>
  <c r="F21" i="3"/>
  <c r="C21" i="3"/>
  <c r="C20" i="3"/>
  <c r="C19" i="3"/>
  <c r="C18" i="3"/>
  <c r="G17" i="3"/>
  <c r="C17" i="3"/>
  <c r="G12" i="3"/>
  <c r="C12" i="3"/>
  <c r="F14" i="3"/>
  <c r="G13" i="3"/>
  <c r="F13" i="3"/>
  <c r="C11" i="3"/>
  <c r="G10" i="3"/>
  <c r="F10" i="3"/>
  <c r="C10" i="3"/>
  <c r="G9" i="3"/>
  <c r="C9" i="3"/>
  <c r="B9" i="3"/>
  <c r="G8" i="3"/>
  <c r="F8" i="3"/>
  <c r="L44" i="1" l="1"/>
  <c r="L61" i="1"/>
  <c r="K2337" i="1"/>
  <c r="K2335" i="1"/>
  <c r="K2334" i="1"/>
  <c r="K2333" i="1"/>
  <c r="K2331" i="1"/>
  <c r="K2329" i="1"/>
  <c r="J2337" i="1"/>
  <c r="J2335" i="1"/>
  <c r="J2334" i="1"/>
  <c r="J2333" i="1"/>
  <c r="K66" i="1"/>
  <c r="L1827" i="1"/>
  <c r="J1828" i="1"/>
  <c r="L2030" i="1"/>
  <c r="L2031" i="1"/>
  <c r="L2029" i="1"/>
  <c r="J2032" i="1"/>
  <c r="J2033" i="1" s="1"/>
  <c r="L2033" i="1" s="1"/>
  <c r="L2335" i="1" l="1"/>
  <c r="L2334" i="1"/>
  <c r="L2337" i="1"/>
  <c r="L2333" i="1"/>
  <c r="L2034" i="1"/>
  <c r="F220" i="3"/>
  <c r="L1828" i="1"/>
  <c r="H202" i="3" s="1"/>
  <c r="F202" i="3"/>
  <c r="J1829" i="1"/>
  <c r="L1829" i="1"/>
  <c r="L2032" i="1"/>
  <c r="H220" i="3" s="1"/>
  <c r="L1920" i="1" l="1"/>
  <c r="L1921" i="1"/>
  <c r="L1922" i="1"/>
  <c r="K448" i="1" l="1"/>
  <c r="J465" i="1"/>
  <c r="F9" i="3" s="1"/>
  <c r="F7" i="3" s="1"/>
  <c r="L462" i="1"/>
  <c r="L464" i="1" s="1"/>
  <c r="L529" i="1"/>
  <c r="L530" i="1" s="1"/>
  <c r="L528" i="1"/>
  <c r="H21" i="3" s="1"/>
  <c r="J525" i="1"/>
  <c r="F20" i="3" s="1"/>
  <c r="L522" i="1"/>
  <c r="J519" i="1"/>
  <c r="F19" i="3" s="1"/>
  <c r="L516" i="1"/>
  <c r="J513" i="1"/>
  <c r="F18" i="3" s="1"/>
  <c r="L510" i="1"/>
  <c r="J507" i="1"/>
  <c r="F17" i="3" s="1"/>
  <c r="L504" i="1"/>
  <c r="L2010" i="1"/>
  <c r="L800" i="1"/>
  <c r="L465" i="1" l="1"/>
  <c r="H9" i="3"/>
  <c r="J530" i="1"/>
  <c r="L524" i="1"/>
  <c r="L525" i="1" s="1"/>
  <c r="H20" i="3" s="1"/>
  <c r="L518" i="1"/>
  <c r="L519" i="1" s="1"/>
  <c r="H19" i="3" s="1"/>
  <c r="L512" i="1"/>
  <c r="L513" i="1" s="1"/>
  <c r="H18" i="3" s="1"/>
  <c r="L506" i="1"/>
  <c r="L507" i="1" s="1"/>
  <c r="H17" i="3" s="1"/>
  <c r="J340" i="1" l="1"/>
  <c r="J1858" i="1"/>
  <c r="J2227" i="1" l="1"/>
  <c r="F240" i="3" s="1"/>
  <c r="F237" i="3"/>
  <c r="J2131" i="1"/>
  <c r="F235" i="3" s="1"/>
  <c r="F234" i="3"/>
  <c r="F233" i="3"/>
  <c r="J2110" i="1"/>
  <c r="F232" i="3" s="1"/>
  <c r="F226" i="3"/>
  <c r="J2055" i="1"/>
  <c r="J2040" i="1"/>
  <c r="J2012" i="1"/>
  <c r="F216" i="3"/>
  <c r="J1935" i="1"/>
  <c r="J1923" i="1"/>
  <c r="J1889" i="1"/>
  <c r="J1875" i="1"/>
  <c r="J1814" i="1"/>
  <c r="J1815" i="1" s="1"/>
  <c r="F199" i="3" s="1"/>
  <c r="F198" i="3"/>
  <c r="J1771" i="1"/>
  <c r="F192" i="3" s="1"/>
  <c r="J1737" i="1"/>
  <c r="J1738" i="1" s="1"/>
  <c r="J906" i="1"/>
  <c r="J885" i="1"/>
  <c r="F69" i="3" s="1"/>
  <c r="J867" i="1"/>
  <c r="J806" i="1"/>
  <c r="J807" i="1" s="1"/>
  <c r="J781" i="1"/>
  <c r="F57" i="3" s="1"/>
  <c r="J696" i="1"/>
  <c r="J690" i="1"/>
  <c r="J683" i="1"/>
  <c r="F44" i="3" s="1"/>
  <c r="J676" i="1"/>
  <c r="J576" i="1"/>
  <c r="J558" i="1"/>
  <c r="J556" i="1" s="1"/>
  <c r="J550" i="1"/>
  <c r="J551" i="1" s="1"/>
  <c r="J543" i="1"/>
  <c r="J536" i="1"/>
  <c r="J488" i="1"/>
  <c r="J469" i="1"/>
  <c r="J470" i="1" s="1"/>
  <c r="J456" i="1"/>
  <c r="J444" i="1"/>
  <c r="F255" i="3" s="1"/>
  <c r="J437" i="1"/>
  <c r="F254" i="3" s="1"/>
  <c r="J430" i="1"/>
  <c r="F253" i="3" s="1"/>
  <c r="J425" i="1"/>
  <c r="F252" i="3" s="1"/>
  <c r="J418" i="1"/>
  <c r="F251" i="3" s="1"/>
  <c r="J410" i="1"/>
  <c r="F250" i="3" s="1"/>
  <c r="J396" i="1"/>
  <c r="F248" i="3" s="1"/>
  <c r="J391" i="1"/>
  <c r="F247" i="3" s="1"/>
  <c r="J378" i="1"/>
  <c r="J373" i="1"/>
  <c r="F244" i="3" s="1"/>
  <c r="J328" i="1"/>
  <c r="J319" i="1" s="1"/>
  <c r="J313" i="1"/>
  <c r="J294" i="1" s="1"/>
  <c r="J289" i="1"/>
  <c r="J271" i="1" s="1"/>
  <c r="J266" i="1"/>
  <c r="J253" i="1"/>
  <c r="J234" i="1" s="1"/>
  <c r="J141" i="1"/>
  <c r="J139" i="1"/>
  <c r="J137" i="1"/>
  <c r="J135" i="1"/>
  <c r="J134" i="1"/>
  <c r="J133" i="1"/>
  <c r="J130" i="1"/>
  <c r="J128" i="1"/>
  <c r="J127" i="1"/>
  <c r="J126" i="1"/>
  <c r="J125" i="1"/>
  <c r="J123" i="1"/>
  <c r="J121" i="1"/>
  <c r="J120" i="1"/>
  <c r="J117" i="1"/>
  <c r="J116" i="1"/>
  <c r="J114" i="1"/>
  <c r="J113" i="1"/>
  <c r="J111" i="1"/>
  <c r="J110" i="1" s="1"/>
  <c r="J108" i="1"/>
  <c r="J105" i="1"/>
  <c r="J102" i="1"/>
  <c r="J101" i="1"/>
  <c r="J100" i="1"/>
  <c r="J99" i="1"/>
  <c r="J786" i="1"/>
  <c r="J787" i="1" s="1"/>
  <c r="L785" i="1"/>
  <c r="H58" i="3" s="1"/>
  <c r="J2091" i="1"/>
  <c r="J2092" i="1" s="1"/>
  <c r="F229" i="3" s="1"/>
  <c r="L2090" i="1"/>
  <c r="L2091" i="1" s="1"/>
  <c r="L2092" i="1" s="1"/>
  <c r="H229" i="3" s="1"/>
  <c r="L2198" i="1"/>
  <c r="L2199" i="1" s="1"/>
  <c r="H260" i="3" s="1"/>
  <c r="J2198" i="1"/>
  <c r="J2199" i="1" s="1"/>
  <c r="F260" i="3" s="1"/>
  <c r="L2197" i="1"/>
  <c r="L2193" i="1"/>
  <c r="L2194" i="1" s="1"/>
  <c r="H259" i="3" s="1"/>
  <c r="J2193" i="1"/>
  <c r="J2194" i="1" s="1"/>
  <c r="F259" i="3" s="1"/>
  <c r="L2192" i="1"/>
  <c r="L1845" i="1"/>
  <c r="J1501" i="1"/>
  <c r="F173" i="3" s="1"/>
  <c r="J1500" i="1"/>
  <c r="L1500" i="1" s="1"/>
  <c r="L1499" i="1"/>
  <c r="L1501" i="1" s="1"/>
  <c r="H173" i="3" s="1"/>
  <c r="J1496" i="1"/>
  <c r="F172" i="3" s="1"/>
  <c r="J1495" i="1"/>
  <c r="L1495" i="1" s="1"/>
  <c r="L1494" i="1"/>
  <c r="L1496" i="1" s="1"/>
  <c r="H172" i="3" s="1"/>
  <c r="J1491" i="1"/>
  <c r="F171" i="3" s="1"/>
  <c r="J1490" i="1"/>
  <c r="L1490" i="1" s="1"/>
  <c r="L1489" i="1"/>
  <c r="L1491" i="1" s="1"/>
  <c r="H171" i="3" s="1"/>
  <c r="J1486" i="1"/>
  <c r="F170" i="3" s="1"/>
  <c r="J1485" i="1"/>
  <c r="L1485" i="1" s="1"/>
  <c r="L1484" i="1"/>
  <c r="L1486" i="1" s="1"/>
  <c r="H170" i="3" s="1"/>
  <c r="F169" i="3"/>
  <c r="L1479" i="1"/>
  <c r="H169" i="3" s="1"/>
  <c r="J1475" i="1"/>
  <c r="L1474" i="1"/>
  <c r="L1472" i="1"/>
  <c r="L1475" i="1" s="1"/>
  <c r="H168" i="3" s="1"/>
  <c r="J1469" i="1"/>
  <c r="L1468" i="1"/>
  <c r="L1466" i="1"/>
  <c r="L1469" i="1" s="1"/>
  <c r="H167" i="3" s="1"/>
  <c r="J1463" i="1"/>
  <c r="L1462" i="1"/>
  <c r="L1460" i="1"/>
  <c r="L1463" i="1" s="1"/>
  <c r="H166" i="3" s="1"/>
  <c r="J1457" i="1"/>
  <c r="L1456" i="1"/>
  <c r="L1454" i="1"/>
  <c r="L1457" i="1" s="1"/>
  <c r="J1451" i="1"/>
  <c r="L1450" i="1"/>
  <c r="L1448" i="1"/>
  <c r="L1451" i="1" s="1"/>
  <c r="H164" i="3" s="1"/>
  <c r="L1444" i="1"/>
  <c r="J1445" i="1"/>
  <c r="L1442" i="1"/>
  <c r="L1445" i="1" s="1"/>
  <c r="H163" i="3" s="1"/>
  <c r="J1438" i="1"/>
  <c r="L1438" i="1" s="1"/>
  <c r="J1439" i="1"/>
  <c r="F162" i="3" s="1"/>
  <c r="L1437" i="1"/>
  <c r="L1439" i="1" s="1"/>
  <c r="H162" i="3" s="1"/>
  <c r="L1433" i="1"/>
  <c r="J1434" i="1"/>
  <c r="L1431" i="1"/>
  <c r="L1434" i="1" s="1"/>
  <c r="H161" i="3" s="1"/>
  <c r="J1427" i="1"/>
  <c r="J1428" i="1"/>
  <c r="F160" i="3" s="1"/>
  <c r="L1426" i="1"/>
  <c r="L1428" i="1" s="1"/>
  <c r="H160" i="3" s="1"/>
  <c r="J1473" i="1" l="1"/>
  <c r="L1473" i="1" s="1"/>
  <c r="F168" i="3"/>
  <c r="F245" i="3"/>
  <c r="J379" i="1"/>
  <c r="J448" i="1"/>
  <c r="F45" i="3"/>
  <c r="F264" i="3"/>
  <c r="J1432" i="1"/>
  <c r="L1432" i="1" s="1"/>
  <c r="F161" i="3"/>
  <c r="J1461" i="1"/>
  <c r="L1461" i="1" s="1"/>
  <c r="F166" i="3"/>
  <c r="F218" i="3"/>
  <c r="F265" i="3"/>
  <c r="J386" i="1"/>
  <c r="F246" i="3"/>
  <c r="F61" i="3"/>
  <c r="J1455" i="1"/>
  <c r="L1455" i="1" s="1"/>
  <c r="F165" i="3"/>
  <c r="J1443" i="1"/>
  <c r="L1443" i="1" s="1"/>
  <c r="F163" i="3"/>
  <c r="J1449" i="1"/>
  <c r="L1449" i="1" s="1"/>
  <c r="F164" i="3"/>
  <c r="H165" i="3"/>
  <c r="J1467" i="1"/>
  <c r="L1467" i="1" s="1"/>
  <c r="F167" i="3"/>
  <c r="L1847" i="1"/>
  <c r="H205" i="3" s="1"/>
  <c r="F205" i="3"/>
  <c r="F241" i="3"/>
  <c r="J115" i="1"/>
  <c r="J112" i="1"/>
  <c r="J124" i="1"/>
  <c r="L787" i="1"/>
  <c r="L786" i="1"/>
  <c r="L1846" i="1"/>
  <c r="L1480" i="1"/>
  <c r="L1427" i="1"/>
  <c r="H159" i="3"/>
  <c r="L1413" i="1"/>
  <c r="H158" i="3" s="1"/>
  <c r="L2291" i="1"/>
  <c r="J2290" i="1"/>
  <c r="J2292" i="1" s="1"/>
  <c r="L2289" i="1"/>
  <c r="L2143" i="1"/>
  <c r="L889" i="1"/>
  <c r="L890" i="1"/>
  <c r="L888" i="1"/>
  <c r="J891" i="1"/>
  <c r="J892" i="1" s="1"/>
  <c r="F70" i="3" s="1"/>
  <c r="K869" i="1"/>
  <c r="J869" i="1"/>
  <c r="J59" i="1"/>
  <c r="J43" i="1"/>
  <c r="J702" i="1"/>
  <c r="L702" i="1" s="1"/>
  <c r="J703" i="1"/>
  <c r="L703" i="1" s="1"/>
  <c r="L701" i="1"/>
  <c r="H47" i="3" s="1"/>
  <c r="L698" i="1"/>
  <c r="H46" i="3" s="1"/>
  <c r="L697" i="1"/>
  <c r="L695" i="1"/>
  <c r="J1022" i="1"/>
  <c r="L1020" i="1"/>
  <c r="L1021" i="1" s="1"/>
  <c r="H86" i="3" s="1"/>
  <c r="J1958" i="1"/>
  <c r="L1957" i="1"/>
  <c r="L940" i="1"/>
  <c r="L966" i="1"/>
  <c r="L1084" i="1"/>
  <c r="L1554" i="1"/>
  <c r="L1555" i="1"/>
  <c r="L1556" i="1"/>
  <c r="L1557" i="1"/>
  <c r="L1559" i="1"/>
  <c r="L1561" i="1"/>
  <c r="L1562" i="1"/>
  <c r="L1564" i="1"/>
  <c r="L1565" i="1"/>
  <c r="L1566" i="1"/>
  <c r="L1567" i="1"/>
  <c r="L1568" i="1"/>
  <c r="L1569" i="1"/>
  <c r="L1570" i="1"/>
  <c r="L1571" i="1"/>
  <c r="L1572" i="1"/>
  <c r="L1573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2116" i="1"/>
  <c r="L2123" i="1"/>
  <c r="L2129" i="1"/>
  <c r="L2209" i="1"/>
  <c r="L2210" i="1"/>
  <c r="L2211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31" i="1"/>
  <c r="L2249" i="1"/>
  <c r="L2250" i="1"/>
  <c r="L2267" i="1"/>
  <c r="L2279" i="1"/>
  <c r="L2285" i="1"/>
  <c r="J581" i="1"/>
  <c r="L576" i="1"/>
  <c r="L571" i="1"/>
  <c r="J582" i="1"/>
  <c r="L580" i="1"/>
  <c r="H29" i="3" s="1"/>
  <c r="J577" i="1"/>
  <c r="L577" i="1" s="1"/>
  <c r="L575" i="1"/>
  <c r="H28" i="3" s="1"/>
  <c r="L586" i="1"/>
  <c r="L591" i="1"/>
  <c r="H31" i="3" s="1"/>
  <c r="L2182" i="1"/>
  <c r="L2187" i="1"/>
  <c r="L596" i="1"/>
  <c r="H32" i="3" s="1"/>
  <c r="L601" i="1"/>
  <c r="H33" i="3" s="1"/>
  <c r="L606" i="1"/>
  <c r="H34" i="3" s="1"/>
  <c r="L612" i="1"/>
  <c r="L1026" i="1"/>
  <c r="H87" i="3" s="1"/>
  <c r="L1034" i="1"/>
  <c r="L1032" i="1"/>
  <c r="L1038" i="1"/>
  <c r="H89" i="3" s="1"/>
  <c r="L1043" i="1"/>
  <c r="H90" i="3" s="1"/>
  <c r="L1048" i="1"/>
  <c r="H91" i="3" s="1"/>
  <c r="L2306" i="1"/>
  <c r="L2311" i="1"/>
  <c r="L2316" i="1"/>
  <c r="L617" i="1"/>
  <c r="H36" i="3" s="1"/>
  <c r="L622" i="1"/>
  <c r="H37" i="3" s="1"/>
  <c r="L628" i="1"/>
  <c r="L634" i="1"/>
  <c r="H39" i="3" s="1"/>
  <c r="L838" i="1"/>
  <c r="H66" i="3" s="1"/>
  <c r="L642" i="1"/>
  <c r="L640" i="1"/>
  <c r="L2321" i="1"/>
  <c r="L647" i="1"/>
  <c r="H41" i="3" s="1"/>
  <c r="L652" i="1"/>
  <c r="H42" i="3" s="1"/>
  <c r="L1053" i="1"/>
  <c r="H93" i="3" s="1"/>
  <c r="L675" i="1"/>
  <c r="L681" i="1"/>
  <c r="L682" i="1"/>
  <c r="L680" i="1"/>
  <c r="L688" i="1"/>
  <c r="L689" i="1"/>
  <c r="L687" i="1"/>
  <c r="L739" i="1"/>
  <c r="L757" i="1"/>
  <c r="L778" i="1"/>
  <c r="L804" i="1"/>
  <c r="L805" i="1"/>
  <c r="L815" i="1"/>
  <c r="L822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51" i="1"/>
  <c r="L1104" i="1"/>
  <c r="L1111" i="1"/>
  <c r="L1109" i="1"/>
  <c r="L1115" i="1"/>
  <c r="L1120" i="1"/>
  <c r="L1125" i="1"/>
  <c r="L1130" i="1"/>
  <c r="L1137" i="1"/>
  <c r="L1135" i="1"/>
  <c r="L1141" i="1"/>
  <c r="L1146" i="1"/>
  <c r="L1151" i="1"/>
  <c r="L1156" i="1"/>
  <c r="L1161" i="1"/>
  <c r="L1169" i="1"/>
  <c r="L1173" i="1"/>
  <c r="L1179" i="1"/>
  <c r="L1185" i="1"/>
  <c r="L1190" i="1"/>
  <c r="L1196" i="1"/>
  <c r="L1202" i="1"/>
  <c r="L1207" i="1"/>
  <c r="L401" i="1"/>
  <c r="L1213" i="1"/>
  <c r="L1218" i="1"/>
  <c r="L1223" i="1"/>
  <c r="L1228" i="1"/>
  <c r="L1233" i="1"/>
  <c r="L1238" i="1"/>
  <c r="L1243" i="1"/>
  <c r="L1248" i="1"/>
  <c r="L1253" i="1"/>
  <c r="L1258" i="1"/>
  <c r="L1263" i="1"/>
  <c r="L1271" i="1"/>
  <c r="L1275" i="1"/>
  <c r="L1280" i="1"/>
  <c r="L1285" i="1"/>
  <c r="H136" i="3" s="1"/>
  <c r="L1290" i="1"/>
  <c r="L1296" i="1"/>
  <c r="L1301" i="1"/>
  <c r="L1306" i="1"/>
  <c r="L1314" i="1"/>
  <c r="L1312" i="1"/>
  <c r="L1325" i="1"/>
  <c r="L1333" i="1"/>
  <c r="L1331" i="1"/>
  <c r="L1351" i="1"/>
  <c r="L1349" i="1"/>
  <c r="L1355" i="1"/>
  <c r="L1360" i="1"/>
  <c r="L1367" i="1"/>
  <c r="L1365" i="1"/>
  <c r="L1374" i="1"/>
  <c r="L1372" i="1"/>
  <c r="L1378" i="1"/>
  <c r="L1386" i="1"/>
  <c r="L1384" i="1"/>
  <c r="L1392" i="1"/>
  <c r="L1397" i="1"/>
  <c r="L1402" i="1"/>
  <c r="H156" i="3" s="1"/>
  <c r="L1407" i="1"/>
  <c r="H157" i="3" s="1"/>
  <c r="L657" i="1"/>
  <c r="H43" i="3" s="1"/>
  <c r="L1527" i="1"/>
  <c r="L1528" i="1"/>
  <c r="L1526" i="1"/>
  <c r="L1578" i="1"/>
  <c r="L1585" i="1"/>
  <c r="L1591" i="1"/>
  <c r="L1596" i="1"/>
  <c r="L1602" i="1"/>
  <c r="L1607" i="1"/>
  <c r="L1640" i="1"/>
  <c r="L1639" i="1"/>
  <c r="L1675" i="1"/>
  <c r="L1676" i="1"/>
  <c r="L1678" i="1"/>
  <c r="L1739" i="1"/>
  <c r="L1740" i="1"/>
  <c r="L1766" i="1"/>
  <c r="L1767" i="1"/>
  <c r="L1768" i="1"/>
  <c r="L1769" i="1"/>
  <c r="L1770" i="1"/>
  <c r="L1773" i="1"/>
  <c r="L1792" i="1"/>
  <c r="L1802" i="1"/>
  <c r="L1804" i="1"/>
  <c r="L1798" i="1"/>
  <c r="L1810" i="1"/>
  <c r="L1811" i="1"/>
  <c r="L1812" i="1"/>
  <c r="L1813" i="1"/>
  <c r="L1809" i="1"/>
  <c r="L1832" i="1"/>
  <c r="L1840" i="1"/>
  <c r="L1838" i="1"/>
  <c r="L1951" i="1"/>
  <c r="L1952" i="1"/>
  <c r="L2054" i="1"/>
  <c r="L2053" i="1"/>
  <c r="L2074" i="1"/>
  <c r="L2076" i="1"/>
  <c r="L2073" i="1"/>
  <c r="L2085" i="1"/>
  <c r="L2109" i="1"/>
  <c r="L2100" i="1"/>
  <c r="L2106" i="1"/>
  <c r="L2114" i="1"/>
  <c r="L2121" i="1"/>
  <c r="L2127" i="1"/>
  <c r="L2142" i="1"/>
  <c r="L2208" i="1"/>
  <c r="L2230" i="1"/>
  <c r="L2236" i="1"/>
  <c r="L2248" i="1"/>
  <c r="L2258" i="1"/>
  <c r="L2265" i="1"/>
  <c r="L2272" i="1"/>
  <c r="L2277" i="1"/>
  <c r="L2283" i="1"/>
  <c r="L2296" i="1"/>
  <c r="L569" i="1"/>
  <c r="J570" i="1"/>
  <c r="L570" i="1" s="1"/>
  <c r="J1408" i="1"/>
  <c r="J1409" i="1" s="1"/>
  <c r="L1409" i="1" s="1"/>
  <c r="J1403" i="1"/>
  <c r="J1404" i="1" s="1"/>
  <c r="L1404" i="1" s="1"/>
  <c r="J1398" i="1"/>
  <c r="J1399" i="1" s="1"/>
  <c r="F68" i="3" l="1"/>
  <c r="J842" i="1"/>
  <c r="G68" i="3"/>
  <c r="L741" i="1"/>
  <c r="H51" i="3" s="1"/>
  <c r="L1106" i="1"/>
  <c r="L1105" i="1"/>
  <c r="F263" i="3"/>
  <c r="L1399" i="1"/>
  <c r="H155" i="3" s="1"/>
  <c r="F155" i="3"/>
  <c r="J1959" i="1"/>
  <c r="L1959" i="1" s="1"/>
  <c r="F213" i="3"/>
  <c r="L2292" i="1"/>
  <c r="H273" i="3" s="1"/>
  <c r="F273" i="3"/>
  <c r="J1414" i="1"/>
  <c r="F158" i="3"/>
  <c r="J1421" i="1"/>
  <c r="L1421" i="1" s="1"/>
  <c r="F159" i="3"/>
  <c r="J894" i="1"/>
  <c r="L2290" i="1"/>
  <c r="L869" i="1"/>
  <c r="H68" i="3" s="1"/>
  <c r="L891" i="1"/>
  <c r="L892" i="1" s="1"/>
  <c r="H70" i="3" s="1"/>
  <c r="L581" i="1"/>
  <c r="L696" i="1"/>
  <c r="L1022" i="1"/>
  <c r="L582" i="1"/>
  <c r="L1958" i="1"/>
  <c r="H213" i="3" s="1"/>
  <c r="L572" i="1"/>
  <c r="H27" i="3" s="1"/>
  <c r="L1408" i="1"/>
  <c r="L1403" i="1"/>
  <c r="L1398" i="1"/>
  <c r="J2269" i="1"/>
  <c r="J2260" i="1"/>
  <c r="F268" i="3" s="1"/>
  <c r="L2144" i="1"/>
  <c r="H237" i="3" s="1"/>
  <c r="J2102" i="1"/>
  <c r="L2102" i="1" s="1"/>
  <c r="J2096" i="1"/>
  <c r="J2097" i="1" s="1"/>
  <c r="F230" i="3" s="1"/>
  <c r="J2086" i="1"/>
  <c r="J2087" i="1" s="1"/>
  <c r="F228" i="3" s="1"/>
  <c r="J2081" i="1"/>
  <c r="J2082" i="1" s="1"/>
  <c r="F227" i="3" s="1"/>
  <c r="J2068" i="1"/>
  <c r="J2064" i="1"/>
  <c r="L2055" i="1"/>
  <c r="J1953" i="1"/>
  <c r="J1942" i="1"/>
  <c r="F211" i="3" s="1"/>
  <c r="K1935" i="1"/>
  <c r="J1932" i="1"/>
  <c r="K1923" i="1"/>
  <c r="K1919" i="1" s="1"/>
  <c r="L1919" i="1" s="1"/>
  <c r="J1918" i="1"/>
  <c r="L1918" i="1" s="1"/>
  <c r="J1886" i="1"/>
  <c r="F204" i="3"/>
  <c r="J1833" i="1"/>
  <c r="J1822" i="1"/>
  <c r="J1793" i="1"/>
  <c r="J1786" i="1"/>
  <c r="F196" i="3" s="1"/>
  <c r="J1779" i="1"/>
  <c r="F195" i="3" s="1"/>
  <c r="J1772" i="1"/>
  <c r="J1758" i="1"/>
  <c r="J1749" i="1"/>
  <c r="F190" i="3" s="1"/>
  <c r="J1726" i="1"/>
  <c r="J1641" i="1"/>
  <c r="L1641" i="1" s="1"/>
  <c r="J1634" i="1"/>
  <c r="J1608" i="1"/>
  <c r="J1597" i="1"/>
  <c r="K1574" i="1"/>
  <c r="J1529" i="1"/>
  <c r="L1529" i="1" s="1"/>
  <c r="J1541" i="1"/>
  <c r="F174" i="3" s="1"/>
  <c r="J1518" i="1"/>
  <c r="F96" i="3" s="1"/>
  <c r="J1509" i="1"/>
  <c r="J658" i="1"/>
  <c r="F153" i="3"/>
  <c r="J1379" i="1"/>
  <c r="F151" i="3"/>
  <c r="J1368" i="1"/>
  <c r="J1361" i="1"/>
  <c r="J1356" i="1"/>
  <c r="J1352" i="1"/>
  <c r="F146" i="3" s="1"/>
  <c r="F144" i="3"/>
  <c r="F141" i="3"/>
  <c r="J1302" i="1"/>
  <c r="J1291" i="1"/>
  <c r="J1286" i="1"/>
  <c r="J1281" i="1"/>
  <c r="J1276" i="1"/>
  <c r="J1264" i="1"/>
  <c r="J1259" i="1"/>
  <c r="J1254" i="1"/>
  <c r="J1249" i="1"/>
  <c r="J1244" i="1"/>
  <c r="J1239" i="1"/>
  <c r="J1234" i="1"/>
  <c r="J1229" i="1"/>
  <c r="J1224" i="1"/>
  <c r="J1219" i="1"/>
  <c r="J1208" i="1"/>
  <c r="J1191" i="1"/>
  <c r="J1174" i="1"/>
  <c r="J1162" i="1"/>
  <c r="J1157" i="1"/>
  <c r="J1152" i="1"/>
  <c r="J1142" i="1"/>
  <c r="J1143" i="1" s="1"/>
  <c r="F109" i="3" s="1"/>
  <c r="J1147" i="1"/>
  <c r="F197" i="3" l="1"/>
  <c r="J1794" i="1"/>
  <c r="F183" i="3"/>
  <c r="F150" i="3"/>
  <c r="L1415" i="1"/>
  <c r="L1414" i="1"/>
  <c r="L1953" i="1"/>
  <c r="H212" i="3" s="1"/>
  <c r="F212" i="3"/>
  <c r="K1544" i="1"/>
  <c r="G176" i="3"/>
  <c r="G175" i="3" s="1"/>
  <c r="F201" i="3"/>
  <c r="L2064" i="1"/>
  <c r="F224" i="3"/>
  <c r="L2269" i="1"/>
  <c r="H269" i="3" s="1"/>
  <c r="F269" i="3"/>
  <c r="L2128" i="1"/>
  <c r="L2131" i="1"/>
  <c r="H235" i="3" s="1"/>
  <c r="J1636" i="1"/>
  <c r="L1634" i="1"/>
  <c r="H183" i="3" s="1"/>
  <c r="J2122" i="1"/>
  <c r="L2122" i="1" s="1"/>
  <c r="L2124" i="1"/>
  <c r="H234" i="3" s="1"/>
  <c r="J2115" i="1"/>
  <c r="L2115" i="1" s="1"/>
  <c r="L2117" i="1"/>
  <c r="H233" i="3" s="1"/>
  <c r="L1332" i="1"/>
  <c r="L1334" i="1"/>
  <c r="H144" i="3" s="1"/>
  <c r="J1366" i="1"/>
  <c r="L1368" i="1"/>
  <c r="H150" i="3" s="1"/>
  <c r="L1815" i="1"/>
  <c r="H199" i="3" s="1"/>
  <c r="L1814" i="1"/>
  <c r="J2108" i="1"/>
  <c r="L2108" i="1" s="1"/>
  <c r="L2110" i="1"/>
  <c r="H232" i="3" s="1"/>
  <c r="J1350" i="1"/>
  <c r="L1350" i="1" s="1"/>
  <c r="L1352" i="1"/>
  <c r="H146" i="3" s="1"/>
  <c r="L1373" i="1"/>
  <c r="L1375" i="1"/>
  <c r="H151" i="3" s="1"/>
  <c r="L1385" i="1"/>
  <c r="L1388" i="1"/>
  <c r="H153" i="3" s="1"/>
  <c r="J2331" i="1"/>
  <c r="L2331" i="1" s="1"/>
  <c r="L1806" i="1"/>
  <c r="H198" i="3" s="1"/>
  <c r="L1839" i="1"/>
  <c r="L1841" i="1"/>
  <c r="H204" i="3" s="1"/>
  <c r="J2075" i="1"/>
  <c r="L2075" i="1" s="1"/>
  <c r="L2077" i="1"/>
  <c r="J1313" i="1"/>
  <c r="L1313" i="1" s="1"/>
  <c r="L1315" i="1"/>
  <c r="H141" i="3" s="1"/>
  <c r="J2062" i="1"/>
  <c r="J1937" i="1"/>
  <c r="J1138" i="1"/>
  <c r="J1131" i="1"/>
  <c r="J1126" i="1"/>
  <c r="J1121" i="1"/>
  <c r="J1116" i="1"/>
  <c r="J1112" i="1"/>
  <c r="F103" i="3" s="1"/>
  <c r="J1097" i="1"/>
  <c r="J1086" i="1"/>
  <c r="J1079" i="1"/>
  <c r="F100" i="3" s="1"/>
  <c r="J1002" i="1"/>
  <c r="F84" i="3" s="1"/>
  <c r="J983" i="1"/>
  <c r="J967" i="1"/>
  <c r="J968" i="1" s="1"/>
  <c r="J962" i="1"/>
  <c r="F78" i="3" s="1"/>
  <c r="J956" i="1"/>
  <c r="F77" i="3" s="1"/>
  <c r="J950" i="1"/>
  <c r="J933" i="1"/>
  <c r="J926" i="1"/>
  <c r="K868" i="1"/>
  <c r="J896" i="1" l="1"/>
  <c r="F76" i="3"/>
  <c r="L1366" i="1"/>
  <c r="F72" i="3"/>
  <c r="F75" i="3"/>
  <c r="L967" i="1"/>
  <c r="H80" i="3" s="1"/>
  <c r="F80" i="3"/>
  <c r="J1087" i="1"/>
  <c r="F101" i="3"/>
  <c r="L1138" i="1"/>
  <c r="H108" i="3" s="1"/>
  <c r="F108" i="3"/>
  <c r="F74" i="3"/>
  <c r="J907" i="1"/>
  <c r="L1803" i="1"/>
  <c r="L1110" i="1"/>
  <c r="L1112" i="1"/>
  <c r="H103" i="3" s="1"/>
  <c r="J882" i="1"/>
  <c r="J798" i="1"/>
  <c r="J799" i="1" s="1"/>
  <c r="J793" i="1"/>
  <c r="L781" i="1"/>
  <c r="H57" i="3" s="1"/>
  <c r="J772" i="1"/>
  <c r="J765" i="1"/>
  <c r="J758" i="1"/>
  <c r="J731" i="1"/>
  <c r="J721" i="1"/>
  <c r="L690" i="1"/>
  <c r="H45" i="3" s="1"/>
  <c r="L676" i="1"/>
  <c r="J1054" i="1"/>
  <c r="J653" i="1"/>
  <c r="J648" i="1"/>
  <c r="J2322" i="1"/>
  <c r="J839" i="1"/>
  <c r="J635" i="1"/>
  <c r="J623" i="1"/>
  <c r="J618" i="1"/>
  <c r="J2317" i="1"/>
  <c r="J2312" i="1"/>
  <c r="J2307" i="1"/>
  <c r="J1049" i="1"/>
  <c r="J1044" i="1"/>
  <c r="J1039" i="1"/>
  <c r="J1027" i="1"/>
  <c r="J607" i="1"/>
  <c r="J602" i="1"/>
  <c r="J597" i="1"/>
  <c r="J2188" i="1"/>
  <c r="J2183" i="1"/>
  <c r="F257" i="3" s="1"/>
  <c r="J592" i="1"/>
  <c r="J1989" i="1"/>
  <c r="J1980" i="1"/>
  <c r="J1972" i="1"/>
  <c r="J1704" i="1"/>
  <c r="J1699" i="1"/>
  <c r="F191" i="3" s="1"/>
  <c r="J1690" i="1"/>
  <c r="J747" i="1"/>
  <c r="J713" i="1"/>
  <c r="J1682" i="1" l="1"/>
  <c r="L1682" i="1"/>
  <c r="F71" i="3"/>
  <c r="F189" i="3"/>
  <c r="L456" i="1"/>
  <c r="J217" i="1"/>
  <c r="L683" i="1"/>
  <c r="H44" i="3" s="1"/>
  <c r="L806" i="1"/>
  <c r="H61" i="3" s="1"/>
  <c r="L641" i="1"/>
  <c r="L644" i="1"/>
  <c r="H40" i="3" s="1"/>
  <c r="J206" i="1"/>
  <c r="L896" i="1"/>
  <c r="J314" i="1"/>
  <c r="L1319" i="1" l="1"/>
  <c r="J1340" i="1" l="1"/>
  <c r="J1339" i="1"/>
  <c r="L1338" i="1"/>
  <c r="F133" i="3"/>
  <c r="L1269" i="1"/>
  <c r="L1167" i="1"/>
  <c r="L1015" i="1"/>
  <c r="J1013" i="1"/>
  <c r="J1016" i="1" s="1"/>
  <c r="L1012" i="1"/>
  <c r="L1013" i="1" s="1"/>
  <c r="H85" i="3" s="1"/>
  <c r="L1016" i="1" l="1"/>
  <c r="J2336" i="1"/>
  <c r="L2336" i="1" s="1"/>
  <c r="L1014" i="1"/>
  <c r="F85" i="3"/>
  <c r="L1270" i="1"/>
  <c r="L1272" i="1"/>
  <c r="H133" i="3" s="1"/>
  <c r="L884" i="1" l="1"/>
  <c r="K883" i="1"/>
  <c r="L882" i="1"/>
  <c r="L867" i="1"/>
  <c r="L883" i="1" l="1"/>
  <c r="J1033" i="1" l="1"/>
  <c r="L1033" i="1" s="1"/>
  <c r="L1035" i="1"/>
  <c r="H88" i="3" s="1"/>
  <c r="J1642" i="1"/>
  <c r="J1611" i="1" s="1"/>
  <c r="J1674" i="1"/>
  <c r="J1834" i="1"/>
  <c r="J1817" i="1" s="1"/>
  <c r="J132" i="1"/>
  <c r="J98" i="1"/>
  <c r="J1563" i="1"/>
  <c r="J109" i="1" s="1"/>
  <c r="J1560" i="1"/>
  <c r="J106" i="1" s="1"/>
  <c r="J1558" i="1"/>
  <c r="F184" i="3" l="1"/>
  <c r="F203" i="3"/>
  <c r="F200" i="3" s="1"/>
  <c r="J213" i="1"/>
  <c r="J1574" i="1"/>
  <c r="J97" i="1"/>
  <c r="J96" i="1" s="1"/>
  <c r="L1558" i="1"/>
  <c r="L1563" i="1"/>
  <c r="L1560" i="1"/>
  <c r="L1553" i="1"/>
  <c r="J1680" i="1"/>
  <c r="J1677" i="1" s="1"/>
  <c r="L1674" i="1"/>
  <c r="L1833" i="1"/>
  <c r="L1834" i="1" s="1"/>
  <c r="H203" i="3" s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898" i="1"/>
  <c r="F176" i="3" l="1"/>
  <c r="J1579" i="1"/>
  <c r="J1576" i="1" s="1"/>
  <c r="L1576" i="1" s="1"/>
  <c r="L1817" i="1"/>
  <c r="J212" i="1"/>
  <c r="F187" i="3"/>
  <c r="L1677" i="1"/>
  <c r="L1680" i="1"/>
  <c r="H187" i="3" s="1"/>
  <c r="L1923" i="1"/>
  <c r="L1997" i="1"/>
  <c r="L968" i="1" l="1"/>
  <c r="L315" i="1"/>
  <c r="L446" i="1"/>
  <c r="L797" i="1" l="1"/>
  <c r="H60" i="3" s="1"/>
  <c r="L799" i="1" l="1"/>
  <c r="L798" i="1"/>
  <c r="J2251" i="1"/>
  <c r="F267" i="3" l="1"/>
  <c r="L2251" i="1"/>
  <c r="J2252" i="1"/>
  <c r="L2252" i="1" s="1"/>
  <c r="H267" i="3" l="1"/>
  <c r="J397" i="1"/>
  <c r="L397" i="1" s="1"/>
  <c r="L395" i="1"/>
  <c r="L408" i="1"/>
  <c r="L409" i="1"/>
  <c r="K1937" i="1"/>
  <c r="K1887" i="1"/>
  <c r="K1889" i="1"/>
  <c r="G208" i="3" s="1"/>
  <c r="K1876" i="1"/>
  <c r="K2330" i="1" s="1"/>
  <c r="K1877" i="1"/>
  <c r="J1877" i="1"/>
  <c r="J1849" i="1" s="1"/>
  <c r="F207" i="3" l="1"/>
  <c r="G207" i="3"/>
  <c r="G206" i="3" s="1"/>
  <c r="K1849" i="1"/>
  <c r="L2330" i="1"/>
  <c r="J1891" i="1"/>
  <c r="J214" i="1"/>
  <c r="K1891" i="1"/>
  <c r="L1886" i="1"/>
  <c r="L410" i="1"/>
  <c r="H250" i="3" s="1"/>
  <c r="L396" i="1"/>
  <c r="H248" i="3" s="1"/>
  <c r="L917" i="1" l="1"/>
  <c r="H73" i="3" s="1"/>
  <c r="K885" i="1"/>
  <c r="K842" i="1" s="1"/>
  <c r="L385" i="1"/>
  <c r="H246" i="3" s="1"/>
  <c r="L378" i="1"/>
  <c r="H245" i="3" s="1"/>
  <c r="G69" i="3" l="1"/>
  <c r="K894" i="1"/>
  <c r="J205" i="1"/>
  <c r="J254" i="1"/>
  <c r="K2325" i="1" l="1"/>
  <c r="L254" i="1"/>
  <c r="L2162" i="1"/>
  <c r="L2163" i="1" s="1"/>
  <c r="H242" i="3" s="1"/>
  <c r="J2163" i="1"/>
  <c r="L2171" i="1"/>
  <c r="L2172" i="1" s="1"/>
  <c r="H243" i="3" s="1"/>
  <c r="J2172" i="1"/>
  <c r="L455" i="1"/>
  <c r="H8" i="3" s="1"/>
  <c r="F242" i="3" l="1"/>
  <c r="J2173" i="1"/>
  <c r="L2173" i="1" s="1"/>
  <c r="F243" i="3"/>
  <c r="J2164" i="1"/>
  <c r="L2164" i="1" s="1"/>
  <c r="K218" i="1" l="1"/>
  <c r="K217" i="1"/>
  <c r="L217" i="1" s="1"/>
  <c r="K216" i="1"/>
  <c r="K213" i="1"/>
  <c r="L213" i="1" s="1"/>
  <c r="K212" i="1"/>
  <c r="L212" i="1" s="1"/>
  <c r="K211" i="1"/>
  <c r="K210" i="1"/>
  <c r="K208" i="1"/>
  <c r="K207" i="1"/>
  <c r="K206" i="1"/>
  <c r="L206" i="1" s="1"/>
  <c r="K204" i="1"/>
  <c r="K203" i="1"/>
  <c r="K202" i="1"/>
  <c r="K141" i="1"/>
  <c r="K140" i="1" s="1"/>
  <c r="K139" i="1"/>
  <c r="K137" i="1"/>
  <c r="K135" i="1"/>
  <c r="K134" i="1"/>
  <c r="K133" i="1"/>
  <c r="K132" i="1"/>
  <c r="K130" i="1"/>
  <c r="K128" i="1"/>
  <c r="K127" i="1"/>
  <c r="K126" i="1"/>
  <c r="K125" i="1"/>
  <c r="K123" i="1"/>
  <c r="K121" i="1"/>
  <c r="K120" i="1"/>
  <c r="K119" i="1"/>
  <c r="K117" i="1"/>
  <c r="K116" i="1"/>
  <c r="K114" i="1"/>
  <c r="K113" i="1"/>
  <c r="K111" i="1"/>
  <c r="K109" i="1"/>
  <c r="K108" i="1"/>
  <c r="K107" i="1"/>
  <c r="K106" i="1"/>
  <c r="K105" i="1"/>
  <c r="K104" i="1"/>
  <c r="K102" i="1"/>
  <c r="K101" i="1"/>
  <c r="K100" i="1"/>
  <c r="K99" i="1"/>
  <c r="K98" i="1"/>
  <c r="K97" i="1"/>
  <c r="K124" i="1" l="1"/>
  <c r="K118" i="1"/>
  <c r="K112" i="1"/>
  <c r="K96" i="1"/>
  <c r="L482" i="1" l="1"/>
  <c r="J992" i="1"/>
  <c r="F82" i="3" l="1"/>
  <c r="L992" i="1"/>
  <c r="L386" i="1"/>
  <c r="L384" i="1"/>
  <c r="G244" i="3" l="1"/>
  <c r="C244" i="3"/>
  <c r="G224" i="3"/>
  <c r="J363" i="1" l="1"/>
  <c r="J364" i="1" s="1"/>
  <c r="J104" i="1"/>
  <c r="L1085" i="1"/>
  <c r="L2107" i="1" l="1"/>
  <c r="L2062" i="1" l="1"/>
  <c r="H224" i="3"/>
  <c r="J2145" i="1"/>
  <c r="L2145" i="1" l="1"/>
  <c r="L468" i="1" l="1"/>
  <c r="H10" i="3" s="1"/>
  <c r="J202" i="1" l="1"/>
  <c r="L202" i="1" s="1"/>
  <c r="L469" i="1"/>
  <c r="L470" i="1" s="1"/>
  <c r="L448" i="1" s="1"/>
  <c r="J2273" i="1" l="1"/>
  <c r="J2056" i="1" l="1"/>
  <c r="K215" i="1" l="1"/>
  <c r="L2056" i="1"/>
  <c r="J1598" i="1"/>
  <c r="F179" i="3" s="1"/>
  <c r="L1088" i="1"/>
  <c r="L1086" i="1" l="1"/>
  <c r="H101" i="3" s="1"/>
  <c r="L1087" i="1"/>
  <c r="L1326" i="1" l="1"/>
  <c r="L55" i="1"/>
  <c r="L83" i="1"/>
  <c r="J82" i="1"/>
  <c r="L82" i="1" s="1"/>
  <c r="L944" i="1"/>
  <c r="L65" i="1"/>
  <c r="L372" i="1"/>
  <c r="L371" i="1"/>
  <c r="L373" i="1" l="1"/>
  <c r="L823" i="1"/>
  <c r="L824" i="1" s="1"/>
  <c r="H63" i="3" s="1"/>
  <c r="J1327" i="1"/>
  <c r="F143" i="3" s="1"/>
  <c r="J374" i="1"/>
  <c r="H244" i="3" l="1"/>
  <c r="L1327" i="1"/>
  <c r="H143" i="3" s="1"/>
  <c r="J824" i="1"/>
  <c r="F63" i="3" s="1"/>
  <c r="F49" i="3" s="1"/>
  <c r="L374" i="1"/>
  <c r="K110" i="1"/>
  <c r="K122" i="1"/>
  <c r="K129" i="1"/>
  <c r="K136" i="1"/>
  <c r="K138" i="1"/>
  <c r="K103" i="1" l="1"/>
  <c r="K131" i="1"/>
  <c r="K115" i="1"/>
  <c r="K142" i="1" l="1"/>
  <c r="G14" i="3"/>
  <c r="G11" i="3" s="1"/>
  <c r="C14" i="3"/>
  <c r="B14" i="3"/>
  <c r="J489" i="1" l="1"/>
  <c r="L487" i="1"/>
  <c r="L779" i="1"/>
  <c r="L1054" i="1"/>
  <c r="J1055" i="1"/>
  <c r="L1055" i="1"/>
  <c r="J80" i="1"/>
  <c r="L80" i="1" s="1"/>
  <c r="L81" i="1"/>
  <c r="L1996" i="1"/>
  <c r="J1148" i="1"/>
  <c r="F110" i="3" s="1"/>
  <c r="J1163" i="1"/>
  <c r="F113" i="3" s="1"/>
  <c r="J2189" i="1"/>
  <c r="F258" i="3" s="1"/>
  <c r="L1163" i="1" l="1"/>
  <c r="H113" i="3" s="1"/>
  <c r="L488" i="1"/>
  <c r="L489" i="1" s="1"/>
  <c r="J1593" i="1"/>
  <c r="L1147" i="1"/>
  <c r="L1148" i="1" s="1"/>
  <c r="H110" i="3" s="1"/>
  <c r="L1162" i="1"/>
  <c r="L2188" i="1"/>
  <c r="L2189" i="1" s="1"/>
  <c r="H258" i="3" s="1"/>
  <c r="F178" i="3" l="1"/>
  <c r="H14" i="3"/>
  <c r="L1593" i="1"/>
  <c r="H178" i="3" s="1"/>
  <c r="L556" i="1"/>
  <c r="L557" i="1"/>
  <c r="L555" i="1"/>
  <c r="H25" i="3" s="1"/>
  <c r="L558" i="1" l="1"/>
  <c r="J691" i="1"/>
  <c r="L691" i="1" s="1"/>
  <c r="L89" i="1" l="1"/>
  <c r="K185" i="1" s="1"/>
  <c r="K184" i="1" s="1"/>
  <c r="J88" i="1"/>
  <c r="L88" i="1" s="1"/>
  <c r="F102" i="3"/>
  <c r="J1198" i="1"/>
  <c r="F119" i="3" s="1"/>
  <c r="L1208" i="1"/>
  <c r="J1357" i="1"/>
  <c r="F148" i="3" s="1"/>
  <c r="L1198" i="1" l="1"/>
  <c r="H119" i="3" s="1"/>
  <c r="H102" i="3"/>
  <c r="J1209" i="1"/>
  <c r="F121" i="3" s="1"/>
  <c r="L1356" i="1"/>
  <c r="L1357" i="1"/>
  <c r="H148" i="3" s="1"/>
  <c r="L1209" i="1" l="1"/>
  <c r="H121" i="3" s="1"/>
  <c r="J1265" i="1" l="1"/>
  <c r="F132" i="3" s="1"/>
  <c r="L961" i="1"/>
  <c r="L962" i="1" s="1"/>
  <c r="H78" i="3" s="1"/>
  <c r="J431" i="1"/>
  <c r="L431" i="1" s="1"/>
  <c r="L429" i="1"/>
  <c r="L430" i="1" s="1"/>
  <c r="H253" i="3" s="1"/>
  <c r="F145" i="3"/>
  <c r="J2284" i="1"/>
  <c r="J2286" i="1" l="1"/>
  <c r="L2284" i="1"/>
  <c r="J963" i="1"/>
  <c r="L1265" i="1"/>
  <c r="H132" i="3" s="1"/>
  <c r="L1264" i="1"/>
  <c r="L2286" i="1" l="1"/>
  <c r="H272" i="3" s="1"/>
  <c r="F272" i="3"/>
  <c r="L963" i="1"/>
  <c r="L380" i="1"/>
  <c r="L379" i="1"/>
  <c r="L377" i="1"/>
  <c r="J1192" i="1"/>
  <c r="F118" i="3" s="1"/>
  <c r="L1192" i="1" l="1"/>
  <c r="H118" i="3" s="1"/>
  <c r="L1191" i="1"/>
  <c r="L327" i="1" l="1"/>
  <c r="L326" i="1"/>
  <c r="L328" i="1" l="1"/>
  <c r="J329" i="1"/>
  <c r="J1298" i="1"/>
  <c r="F138" i="3" s="1"/>
  <c r="J1122" i="1"/>
  <c r="L908" i="1"/>
  <c r="L1122" i="1" l="1"/>
  <c r="H105" i="3" s="1"/>
  <c r="F105" i="3"/>
  <c r="L1298" i="1"/>
  <c r="H138" i="3" s="1"/>
  <c r="L329" i="1"/>
  <c r="L319" i="1"/>
  <c r="L1121" i="1"/>
  <c r="L365" i="1"/>
  <c r="G239" i="3" l="1"/>
  <c r="G226" i="3"/>
  <c r="G228" i="3"/>
  <c r="G227" i="3"/>
  <c r="G225" i="3"/>
  <c r="G184" i="3"/>
  <c r="G182" i="3" s="1"/>
  <c r="C184" i="3"/>
  <c r="G54" i="3"/>
  <c r="G49" i="3" s="1"/>
  <c r="G7" i="3"/>
  <c r="C7" i="3"/>
  <c r="B8" i="3"/>
  <c r="C8" i="3"/>
  <c r="B13" i="3"/>
  <c r="C13" i="3"/>
  <c r="B50" i="3"/>
  <c r="C50" i="3"/>
  <c r="B51" i="3"/>
  <c r="C51" i="3"/>
  <c r="C68" i="3"/>
  <c r="C69" i="3"/>
  <c r="C72" i="3"/>
  <c r="C73" i="3"/>
  <c r="C83" i="3"/>
  <c r="G83" i="3"/>
  <c r="C84" i="3"/>
  <c r="C95" i="3"/>
  <c r="C183" i="3"/>
  <c r="C187" i="3"/>
  <c r="C189" i="3"/>
  <c r="C190" i="3"/>
  <c r="G190" i="3"/>
  <c r="C191" i="3"/>
  <c r="C192" i="3"/>
  <c r="C201" i="3"/>
  <c r="C207" i="3"/>
  <c r="C208" i="3"/>
  <c r="C209" i="3"/>
  <c r="C210" i="3"/>
  <c r="C218" i="3"/>
  <c r="C219" i="3"/>
  <c r="C239" i="3"/>
  <c r="C240" i="3"/>
  <c r="C241" i="3"/>
  <c r="C242" i="3"/>
  <c r="C243" i="3"/>
  <c r="C264" i="3"/>
  <c r="C265" i="3"/>
  <c r="G217" i="3" l="1"/>
  <c r="G263" i="3"/>
  <c r="G238" i="3"/>
  <c r="G94" i="3"/>
  <c r="G71" i="3"/>
  <c r="G188" i="3"/>
  <c r="J64" i="1" l="1"/>
  <c r="J1187" i="1" l="1"/>
  <c r="F117" i="3" s="1"/>
  <c r="J2184" i="1"/>
  <c r="J1609" i="1"/>
  <c r="F181" i="3" s="1"/>
  <c r="J403" i="1"/>
  <c r="J333" i="1" s="1"/>
  <c r="J1204" i="1"/>
  <c r="J818" i="1"/>
  <c r="L2061" i="1"/>
  <c r="J1705" i="1"/>
  <c r="F194" i="3" s="1"/>
  <c r="F188" i="3" s="1"/>
  <c r="L1703" i="1"/>
  <c r="L1704" i="1" s="1"/>
  <c r="J1604" i="1"/>
  <c r="J1544" i="1" s="1"/>
  <c r="J107" i="1"/>
  <c r="J103" i="1" s="1"/>
  <c r="L2266" i="1"/>
  <c r="F120" i="3" l="1"/>
  <c r="F249" i="3"/>
  <c r="L1604" i="1"/>
  <c r="H180" i="3" s="1"/>
  <c r="F180" i="3"/>
  <c r="J1073" i="1"/>
  <c r="L1204" i="1"/>
  <c r="H120" i="3" s="1"/>
  <c r="L1609" i="1"/>
  <c r="H181" i="3" s="1"/>
  <c r="L403" i="1"/>
  <c r="H249" i="3" s="1"/>
  <c r="L1187" i="1"/>
  <c r="H117" i="3" s="1"/>
  <c r="L1186" i="1"/>
  <c r="L2183" i="1"/>
  <c r="L1608" i="1"/>
  <c r="L1203" i="1"/>
  <c r="L2063" i="1"/>
  <c r="L1705" i="1"/>
  <c r="H194" i="3" s="1"/>
  <c r="F99" i="3" l="1"/>
  <c r="L2184" i="1"/>
  <c r="H257" i="3"/>
  <c r="J1074" i="1"/>
  <c r="J684" i="1"/>
  <c r="L684" i="1" s="1"/>
  <c r="L1535" i="1" l="1"/>
  <c r="L1536" i="1"/>
  <c r="L1537" i="1"/>
  <c r="L1538" i="1"/>
  <c r="L990" i="1"/>
  <c r="J438" i="1"/>
  <c r="L438" i="1" s="1"/>
  <c r="J426" i="1"/>
  <c r="L426" i="1" s="1"/>
  <c r="J419" i="1"/>
  <c r="L419" i="1" s="1"/>
  <c r="J2232" i="1"/>
  <c r="L2232" i="1" s="1"/>
  <c r="J593" i="1"/>
  <c r="J1214" i="1"/>
  <c r="J2318" i="1"/>
  <c r="F277" i="3" s="1"/>
  <c r="J2313" i="1"/>
  <c r="F276" i="3" s="1"/>
  <c r="L1658" i="1"/>
  <c r="L1656" i="1"/>
  <c r="L1654" i="1"/>
  <c r="L1653" i="1"/>
  <c r="L1652" i="1"/>
  <c r="J1117" i="1"/>
  <c r="F104" i="3" s="1"/>
  <c r="J1308" i="1"/>
  <c r="F140" i="3" s="1"/>
  <c r="J1303" i="1"/>
  <c r="F139" i="3" s="1"/>
  <c r="J1132" i="1"/>
  <c r="F107" i="3" s="1"/>
  <c r="J1215" i="1" l="1"/>
  <c r="F122" i="3" s="1"/>
  <c r="J2001" i="1"/>
  <c r="L1117" i="1"/>
  <c r="H104" i="3" s="1"/>
  <c r="L1303" i="1"/>
  <c r="H139" i="3" s="1"/>
  <c r="L1308" i="1"/>
  <c r="H140" i="3" s="1"/>
  <c r="L1642" i="1"/>
  <c r="H184" i="3" s="1"/>
  <c r="H182" i="3" s="1"/>
  <c r="L1215" i="1"/>
  <c r="H122" i="3" s="1"/>
  <c r="L1116" i="1"/>
  <c r="L592" i="1"/>
  <c r="L593" i="1" s="1"/>
  <c r="L1214" i="1"/>
  <c r="L2317" i="1"/>
  <c r="L2318" i="1" s="1"/>
  <c r="H277" i="3" s="1"/>
  <c r="L2312" i="1"/>
  <c r="L2313" i="1" s="1"/>
  <c r="H276" i="3" s="1"/>
  <c r="L1307" i="1"/>
  <c r="L1302" i="1"/>
  <c r="L1131" i="1"/>
  <c r="L1132" i="1" s="1"/>
  <c r="H107" i="3" s="1"/>
  <c r="J1394" i="1"/>
  <c r="F154" i="3" s="1"/>
  <c r="J603" i="1"/>
  <c r="J1175" i="1"/>
  <c r="F115" i="3" s="1"/>
  <c r="J659" i="1"/>
  <c r="J588" i="1"/>
  <c r="F30" i="3" s="1"/>
  <c r="J598" i="1"/>
  <c r="J608" i="1"/>
  <c r="L391" i="1"/>
  <c r="H247" i="3" s="1"/>
  <c r="L389" i="1"/>
  <c r="L390" i="1"/>
  <c r="L2001" i="1" l="1"/>
  <c r="L1394" i="1"/>
  <c r="H154" i="3" s="1"/>
  <c r="L1175" i="1"/>
  <c r="H115" i="3" s="1"/>
  <c r="L603" i="1"/>
  <c r="L598" i="1"/>
  <c r="J392" i="1"/>
  <c r="L392" i="1" s="1"/>
  <c r="L602" i="1"/>
  <c r="L588" i="1"/>
  <c r="H30" i="3" s="1"/>
  <c r="L1174" i="1"/>
  <c r="L597" i="1"/>
  <c r="L1994" i="1"/>
  <c r="L1995" i="1"/>
  <c r="L1998" i="1"/>
  <c r="L1993" i="1"/>
  <c r="L1712" i="1"/>
  <c r="J2237" i="1"/>
  <c r="F262" i="3" s="1"/>
  <c r="J1530" i="1" l="1"/>
  <c r="L2237" i="1"/>
  <c r="H262" i="3" s="1"/>
  <c r="J2238" i="1"/>
  <c r="F38" i="3" l="1"/>
  <c r="J2278" i="1"/>
  <c r="L2278" i="1" s="1"/>
  <c r="J2332" i="1"/>
  <c r="J2178" i="1"/>
  <c r="L2177" i="1"/>
  <c r="L2178" i="1" s="1"/>
  <c r="H256" i="3" s="1"/>
  <c r="F256" i="3" l="1"/>
  <c r="J2179" i="1"/>
  <c r="L2179" i="1" s="1"/>
  <c r="H38" i="3"/>
  <c r="L1698" i="1"/>
  <c r="L357" i="1" l="1"/>
  <c r="L1530" i="1" l="1"/>
  <c r="L1933" i="1"/>
  <c r="L1866" i="1"/>
  <c r="L1597" i="1" l="1"/>
  <c r="L2068" i="1"/>
  <c r="L2069" i="1" s="1"/>
  <c r="H225" i="3" s="1"/>
  <c r="L2067" i="1"/>
  <c r="L1598" i="1" l="1"/>
  <c r="H179" i="3" s="1"/>
  <c r="J2069" i="1"/>
  <c r="F225" i="3" s="1"/>
  <c r="L658" i="1" l="1"/>
  <c r="F142" i="3"/>
  <c r="L1321" i="1" l="1"/>
  <c r="H142" i="3" s="1"/>
  <c r="L659" i="1"/>
  <c r="L1320" i="1"/>
  <c r="L1989" i="1" l="1"/>
  <c r="J1990" i="1" l="1"/>
  <c r="F210" i="3" s="1"/>
  <c r="L1990" i="1" l="1"/>
  <c r="H210" i="3" s="1"/>
  <c r="J1973" i="1" l="1"/>
  <c r="F208" i="3" s="1"/>
  <c r="L241" i="1" l="1"/>
  <c r="J1255" i="1" l="1"/>
  <c r="F130" i="3" s="1"/>
  <c r="L1281" i="1"/>
  <c r="L1282" i="1" s="1"/>
  <c r="H135" i="3" s="1"/>
  <c r="J1277" i="1"/>
  <c r="F134" i="3" s="1"/>
  <c r="J1250" i="1"/>
  <c r="F129" i="3" s="1"/>
  <c r="J1245" i="1"/>
  <c r="F128" i="3" s="1"/>
  <c r="J1225" i="1"/>
  <c r="F124" i="3" s="1"/>
  <c r="L1245" i="1" l="1"/>
  <c r="H128" i="3" s="1"/>
  <c r="L1250" i="1"/>
  <c r="H129" i="3" s="1"/>
  <c r="L1225" i="1"/>
  <c r="H124" i="3" s="1"/>
  <c r="L1255" i="1"/>
  <c r="H130" i="3" s="1"/>
  <c r="J1282" i="1"/>
  <c r="F135" i="3" s="1"/>
  <c r="L1254" i="1"/>
  <c r="L1276" i="1"/>
  <c r="L1277" i="1" s="1"/>
  <c r="H134" i="3" s="1"/>
  <c r="L1249" i="1"/>
  <c r="L1244" i="1"/>
  <c r="L1224" i="1"/>
  <c r="L955" i="1" l="1"/>
  <c r="L956" i="1" s="1"/>
  <c r="H77" i="3" s="1"/>
  <c r="J951" i="1"/>
  <c r="L949" i="1"/>
  <c r="L948" i="1"/>
  <c r="L904" i="1"/>
  <c r="L905" i="1"/>
  <c r="J210" i="1" l="1"/>
  <c r="L210" i="1" s="1"/>
  <c r="L1611" i="1"/>
  <c r="L951" i="1"/>
  <c r="L950" i="1"/>
  <c r="H76" i="3" s="1"/>
  <c r="L957" i="1" l="1"/>
  <c r="J1667" i="1" l="1"/>
  <c r="J1644" i="1" s="1"/>
  <c r="L2086" i="1"/>
  <c r="J2280" i="1"/>
  <c r="F271" i="3" s="1"/>
  <c r="L1644" i="1" l="1"/>
  <c r="F186" i="3"/>
  <c r="L2280" i="1"/>
  <c r="H271" i="3" s="1"/>
  <c r="J211" i="1"/>
  <c r="L211" i="1" s="1"/>
  <c r="J2259" i="1"/>
  <c r="L758" i="1"/>
  <c r="L2259" i="1" l="1"/>
  <c r="L2260" i="1"/>
  <c r="J759" i="1"/>
  <c r="L653" i="1"/>
  <c r="J649" i="1"/>
  <c r="J1380" i="1"/>
  <c r="F152" i="3" s="1"/>
  <c r="H268" i="3" l="1"/>
  <c r="L1380" i="1"/>
  <c r="H152" i="3" s="1"/>
  <c r="L759" i="1"/>
  <c r="H54" i="3" s="1"/>
  <c r="L649" i="1"/>
  <c r="L1379" i="1"/>
  <c r="J654" i="1"/>
  <c r="L648" i="1"/>
  <c r="L654" i="1" l="1"/>
  <c r="J1260" i="1" l="1"/>
  <c r="F131" i="3" s="1"/>
  <c r="L1260" i="1" l="1"/>
  <c r="H131" i="3" s="1"/>
  <c r="L1259" i="1"/>
  <c r="L443" i="1" l="1"/>
  <c r="L444" i="1" s="1"/>
  <c r="H255" i="3" s="1"/>
  <c r="J1954" i="1"/>
  <c r="L1954" i="1" s="1"/>
  <c r="L816" i="1"/>
  <c r="L1785" i="1"/>
  <c r="J782" i="1"/>
  <c r="L780" i="1"/>
  <c r="L874" i="1"/>
  <c r="L879" i="1"/>
  <c r="L880" i="1"/>
  <c r="L436" i="1"/>
  <c r="L437" i="1" s="1"/>
  <c r="H254" i="3" s="1"/>
  <c r="L2103" i="1"/>
  <c r="H231" i="3" s="1"/>
  <c r="L2101" i="1"/>
  <c r="L817" i="1" l="1"/>
  <c r="H62" i="3" s="1"/>
  <c r="J445" i="1"/>
  <c r="L445" i="1" s="1"/>
  <c r="L2000" i="1"/>
  <c r="H216" i="3" s="1"/>
  <c r="J1787" i="1"/>
  <c r="L1786" i="1"/>
  <c r="H196" i="3" s="1"/>
  <c r="L782" i="1"/>
  <c r="J2103" i="1"/>
  <c r="F231" i="3" s="1"/>
  <c r="L1787" i="1" l="1"/>
  <c r="L818" i="1"/>
  <c r="L1738" i="1"/>
  <c r="L1552" i="1"/>
  <c r="L2095" i="1" l="1"/>
  <c r="L2080" i="1"/>
  <c r="L2096" i="1" l="1"/>
  <c r="L2097" i="1" s="1"/>
  <c r="H230" i="3" s="1"/>
  <c r="L2087" i="1"/>
  <c r="H228" i="3" s="1"/>
  <c r="L2081" i="1"/>
  <c r="L2082" i="1" s="1"/>
  <c r="H227" i="3" s="1"/>
  <c r="L982" i="1"/>
  <c r="L2039" i="1"/>
  <c r="J1362" i="1"/>
  <c r="F149" i="3" s="1"/>
  <c r="L1362" i="1" l="1"/>
  <c r="H149" i="3" s="1"/>
  <c r="J984" i="1"/>
  <c r="L983" i="1"/>
  <c r="L984" i="1" s="1"/>
  <c r="J2041" i="1"/>
  <c r="F222" i="3" s="1"/>
  <c r="L2040" i="1"/>
  <c r="L2041" i="1" s="1"/>
  <c r="H222" i="3" s="1"/>
  <c r="L1361" i="1"/>
  <c r="F83" i="3" l="1"/>
  <c r="F81" i="3" s="1"/>
  <c r="J773" i="1"/>
  <c r="L771" i="1"/>
  <c r="H56" i="3" s="1"/>
  <c r="H83" i="3" l="1"/>
  <c r="L773" i="1"/>
  <c r="L772" i="1"/>
  <c r="J1292" i="1"/>
  <c r="F137" i="3" s="1"/>
  <c r="J1287" i="1"/>
  <c r="J1240" i="1"/>
  <c r="F127" i="3" s="1"/>
  <c r="J1235" i="1"/>
  <c r="F126" i="3" s="1"/>
  <c r="J1230" i="1"/>
  <c r="F125" i="3" s="1"/>
  <c r="J1220" i="1"/>
  <c r="F123" i="3" s="1"/>
  <c r="J1158" i="1"/>
  <c r="F112" i="3" s="1"/>
  <c r="L1152" i="1"/>
  <c r="J2323" i="1"/>
  <c r="F279" i="3" s="1"/>
  <c r="J840" i="1"/>
  <c r="J705" i="1" s="1"/>
  <c r="J636" i="1"/>
  <c r="J2274" i="1"/>
  <c r="J624" i="1"/>
  <c r="J619" i="1"/>
  <c r="J2308" i="1"/>
  <c r="F275" i="3" s="1"/>
  <c r="J2297" i="1"/>
  <c r="J2298" i="1" s="1"/>
  <c r="F274" i="3" s="1"/>
  <c r="J1050" i="1"/>
  <c r="J1045" i="1"/>
  <c r="J2242" i="1" l="1"/>
  <c r="F270" i="3"/>
  <c r="F266" i="3" s="1"/>
  <c r="L705" i="1"/>
  <c r="J204" i="1"/>
  <c r="L204" i="1" s="1"/>
  <c r="L1230" i="1"/>
  <c r="H125" i="3" s="1"/>
  <c r="L1240" i="1"/>
  <c r="H127" i="3" s="1"/>
  <c r="L1287" i="1"/>
  <c r="L1158" i="1"/>
  <c r="H112" i="3" s="1"/>
  <c r="L1220" i="1"/>
  <c r="H123" i="3" s="1"/>
  <c r="L1235" i="1"/>
  <c r="H126" i="3" s="1"/>
  <c r="L1292" i="1"/>
  <c r="H137" i="3" s="1"/>
  <c r="J1003" i="1"/>
  <c r="J1153" i="1"/>
  <c r="F111" i="3" s="1"/>
  <c r="L1049" i="1"/>
  <c r="L1050" i="1" s="1"/>
  <c r="L1291" i="1"/>
  <c r="L1286" i="1"/>
  <c r="L1239" i="1"/>
  <c r="L1234" i="1"/>
  <c r="L1229" i="1"/>
  <c r="L1219" i="1"/>
  <c r="L1157" i="1"/>
  <c r="L1142" i="1"/>
  <c r="L1143" i="1" s="1"/>
  <c r="H109" i="3" s="1"/>
  <c r="L2322" i="1"/>
  <c r="L2323" i="1" s="1"/>
  <c r="H279" i="3" s="1"/>
  <c r="L839" i="1"/>
  <c r="L840" i="1" s="1"/>
  <c r="L635" i="1"/>
  <c r="L636" i="1" s="1"/>
  <c r="L2273" i="1"/>
  <c r="L2274" i="1" s="1"/>
  <c r="L623" i="1"/>
  <c r="L624" i="1" s="1"/>
  <c r="L618" i="1"/>
  <c r="L619" i="1" s="1"/>
  <c r="L2307" i="1"/>
  <c r="L2308" i="1" s="1"/>
  <c r="H275" i="3" s="1"/>
  <c r="L2297" i="1"/>
  <c r="L2298" i="1" s="1"/>
  <c r="H274" i="3" s="1"/>
  <c r="L1044" i="1"/>
  <c r="L1045" i="1" s="1"/>
  <c r="L1873" i="1"/>
  <c r="H270" i="3" l="1"/>
  <c r="H266" i="3" s="1"/>
  <c r="L2242" i="1"/>
  <c r="L1153" i="1"/>
  <c r="H111" i="3" s="1"/>
  <c r="L1181" i="1"/>
  <c r="H116" i="3" s="1"/>
  <c r="L764" i="1" l="1"/>
  <c r="H55" i="3" s="1"/>
  <c r="L792" i="1"/>
  <c r="H59" i="3" s="1"/>
  <c r="L1081" i="1"/>
  <c r="L1078" i="1"/>
  <c r="L1079" i="1" s="1"/>
  <c r="H100" i="3" s="1"/>
  <c r="L1075" i="1"/>
  <c r="L1072" i="1"/>
  <c r="L1073" i="1" s="1"/>
  <c r="H99" i="3" s="1"/>
  <c r="L1540" i="1"/>
  <c r="J1040" i="1"/>
  <c r="J1028" i="1"/>
  <c r="J614" i="1"/>
  <c r="F35" i="3" s="1"/>
  <c r="L607" i="1"/>
  <c r="L608" i="1" s="1"/>
  <c r="J1127" i="1"/>
  <c r="F106" i="3" s="1"/>
  <c r="J975" i="1" l="1"/>
  <c r="L975" i="1" s="1"/>
  <c r="J207" i="1"/>
  <c r="L207" i="1" s="1"/>
  <c r="J766" i="1"/>
  <c r="L766" i="1" s="1"/>
  <c r="J1080" i="1"/>
  <c r="L793" i="1"/>
  <c r="J794" i="1"/>
  <c r="L765" i="1"/>
  <c r="L1074" i="1"/>
  <c r="L1126" i="1"/>
  <c r="L1127" i="1" s="1"/>
  <c r="H106" i="3" s="1"/>
  <c r="L1039" i="1"/>
  <c r="L1040" i="1" s="1"/>
  <c r="L1027" i="1"/>
  <c r="L1028" i="1" s="1"/>
  <c r="L614" i="1"/>
  <c r="H35" i="3" s="1"/>
  <c r="L1080" i="1" l="1"/>
  <c r="J677" i="1"/>
  <c r="F12" i="3" s="1"/>
  <c r="F11" i="3" s="1"/>
  <c r="L794" i="1"/>
  <c r="J2233" i="1"/>
  <c r="J2155" i="1" s="1"/>
  <c r="F261" i="3" l="1"/>
  <c r="J2240" i="1"/>
  <c r="J218" i="1" s="1"/>
  <c r="L218" i="1" s="1"/>
  <c r="L2233" i="1"/>
  <c r="H261" i="3" s="1"/>
  <c r="L677" i="1"/>
  <c r="H12" i="3" s="1"/>
  <c r="L424" i="1"/>
  <c r="L425" i="1" s="1"/>
  <c r="H252" i="3" s="1"/>
  <c r="L311" i="1"/>
  <c r="L480" i="1" l="1"/>
  <c r="H82" i="3" l="1"/>
  <c r="L1001" i="1" l="1"/>
  <c r="L87" i="1" l="1"/>
  <c r="L458" i="1" l="1"/>
  <c r="J1691" i="1" l="1"/>
  <c r="J2226" i="1"/>
  <c r="L1972" i="1"/>
  <c r="L2226" i="1" l="1"/>
  <c r="J216" i="1"/>
  <c r="L216" i="1" s="1"/>
  <c r="L2227" i="1"/>
  <c r="H240" i="3" s="1"/>
  <c r="F177" i="3" l="1"/>
  <c r="L2155" i="1"/>
  <c r="L2240" i="1"/>
  <c r="L1587" i="1"/>
  <c r="H177" i="3" s="1"/>
  <c r="J290" i="1"/>
  <c r="J31" i="1" l="1"/>
  <c r="L59" i="1"/>
  <c r="L31" i="1" l="1"/>
  <c r="K155" i="1" l="1"/>
  <c r="F67" i="3"/>
  <c r="L73" i="1"/>
  <c r="J70" i="1"/>
  <c r="L70" i="1" s="1"/>
  <c r="K64" i="1" l="1"/>
  <c r="L64" i="1" s="1"/>
  <c r="L552" i="1"/>
  <c r="J367" i="1" l="1"/>
  <c r="F239" i="3" s="1"/>
  <c r="F238" i="3" s="1"/>
  <c r="L412" i="1"/>
  <c r="L367" i="1" l="1"/>
  <c r="L364" i="1"/>
  <c r="H239" i="3" l="1"/>
  <c r="K1579" i="1"/>
  <c r="L1534" i="1"/>
  <c r="L542" i="1"/>
  <c r="H23" i="3" s="1"/>
  <c r="L535" i="1"/>
  <c r="H22" i="3" s="1"/>
  <c r="L915" i="1"/>
  <c r="L1888" i="1"/>
  <c r="L1579" i="1" l="1"/>
  <c r="K1577" i="1"/>
  <c r="K2332" i="1" s="1"/>
  <c r="J544" i="1"/>
  <c r="L543" i="1"/>
  <c r="L544" i="1" s="1"/>
  <c r="K2338" i="1" l="1"/>
  <c r="L2332" i="1"/>
  <c r="L1577" i="1"/>
  <c r="K209" i="1"/>
  <c r="J537" i="1"/>
  <c r="J472" i="1" s="1"/>
  <c r="L536" i="1"/>
  <c r="L537" i="1" s="1"/>
  <c r="L877" i="1"/>
  <c r="J1542" i="1" l="1"/>
  <c r="J209" i="1" s="1"/>
  <c r="L209" i="1" s="1"/>
  <c r="L1988" i="1" l="1"/>
  <c r="L288" i="1"/>
  <c r="L287" i="1"/>
  <c r="L286" i="1"/>
  <c r="L285" i="1"/>
  <c r="L284" i="1"/>
  <c r="L283" i="1"/>
  <c r="L282" i="1"/>
  <c r="L281" i="1"/>
  <c r="L280" i="1"/>
  <c r="L279" i="1"/>
  <c r="L278" i="1"/>
  <c r="L289" i="1" l="1"/>
  <c r="L271" i="1" l="1"/>
  <c r="H241" i="3"/>
  <c r="L290" i="1"/>
  <c r="L85" i="1"/>
  <c r="L79" i="1" l="1"/>
  <c r="K84" i="1"/>
  <c r="L84" i="1" s="1"/>
  <c r="J38" i="1" l="1"/>
  <c r="J51" i="1"/>
  <c r="L51" i="1" s="1"/>
  <c r="J53" i="1"/>
  <c r="L53" i="1" s="1"/>
  <c r="K162" i="1" s="1"/>
  <c r="J56" i="1"/>
  <c r="J76" i="1"/>
  <c r="J86" i="1"/>
  <c r="K76" i="1"/>
  <c r="L75" i="1"/>
  <c r="K74" i="1"/>
  <c r="L74" i="1" s="1"/>
  <c r="L69" i="1"/>
  <c r="K78" i="1"/>
  <c r="L86" i="1" l="1"/>
  <c r="K164" i="1" s="1"/>
  <c r="L78" i="1"/>
  <c r="L76" i="1"/>
  <c r="K158" i="1" s="1"/>
  <c r="L38" i="1"/>
  <c r="K157" i="1" l="1"/>
  <c r="L57" i="1"/>
  <c r="J1943" i="1" l="1"/>
  <c r="L1941" i="1"/>
  <c r="L108" i="1" l="1"/>
  <c r="L1943" i="1"/>
  <c r="L1942" i="1"/>
  <c r="H211" i="3" s="1"/>
  <c r="L1934" i="1" l="1"/>
  <c r="L808" i="1" l="1"/>
  <c r="L60" i="1" l="1"/>
  <c r="K159" i="1" s="1"/>
  <c r="L62" i="1"/>
  <c r="L63" i="1"/>
  <c r="K160" i="1" l="1"/>
  <c r="J1651" i="1"/>
  <c r="J1618" i="1"/>
  <c r="L1618" i="1" l="1"/>
  <c r="J119" i="1"/>
  <c r="J118" i="1" s="1"/>
  <c r="L1883" i="1"/>
  <c r="L1884" i="1"/>
  <c r="L1882" i="1"/>
  <c r="L1859" i="1"/>
  <c r="L1860" i="1"/>
  <c r="L1861" i="1"/>
  <c r="L1862" i="1"/>
  <c r="L1863" i="1"/>
  <c r="L1864" i="1"/>
  <c r="L1865" i="1"/>
  <c r="L1867" i="1"/>
  <c r="L1868" i="1"/>
  <c r="L1869" i="1"/>
  <c r="L1870" i="1"/>
  <c r="L1871" i="1"/>
  <c r="L1872" i="1"/>
  <c r="L1858" i="1"/>
  <c r="L916" i="1"/>
  <c r="L1889" i="1" l="1"/>
  <c r="L1877" i="1"/>
  <c r="L1875" i="1"/>
  <c r="L77" i="1"/>
  <c r="L71" i="1"/>
  <c r="L72" i="1"/>
  <c r="L66" i="1"/>
  <c r="L67" i="1"/>
  <c r="L68" i="1"/>
  <c r="H207" i="3" l="1"/>
  <c r="L1891" i="1"/>
  <c r="K91" i="1"/>
  <c r="L56" i="1" l="1"/>
  <c r="K163" i="1" s="1"/>
  <c r="L58" i="1"/>
  <c r="L54" i="1"/>
  <c r="L52" i="1"/>
  <c r="L45" i="1"/>
  <c r="L46" i="1"/>
  <c r="L47" i="1"/>
  <c r="L48" i="1"/>
  <c r="L49" i="1"/>
  <c r="L50" i="1"/>
  <c r="L39" i="1"/>
  <c r="L40" i="1"/>
  <c r="L41" i="1"/>
  <c r="L42" i="1"/>
  <c r="L32" i="1"/>
  <c r="L33" i="1"/>
  <c r="L34" i="1"/>
  <c r="L35" i="1"/>
  <c r="L36" i="1"/>
  <c r="L37" i="1"/>
  <c r="L1689" i="1" l="1"/>
  <c r="L1757" i="1" l="1"/>
  <c r="L1971" i="1"/>
  <c r="L712" i="1"/>
  <c r="L1541" i="1" l="1"/>
  <c r="H174" i="3" s="1"/>
  <c r="L1758" i="1"/>
  <c r="L803" i="1"/>
  <c r="L925" i="1"/>
  <c r="L807" i="1" l="1"/>
  <c r="L926" i="1"/>
  <c r="L991" i="1"/>
  <c r="L479" i="1"/>
  <c r="H13" i="3" s="1"/>
  <c r="L1002" i="1"/>
  <c r="L720" i="1"/>
  <c r="L941" i="1"/>
  <c r="L942" i="1" s="1"/>
  <c r="L935" i="1"/>
  <c r="L932" i="1"/>
  <c r="J1519" i="1"/>
  <c r="L903" i="1"/>
  <c r="L906" i="1" s="1"/>
  <c r="L549" i="1"/>
  <c r="H24" i="3" s="1"/>
  <c r="H72" i="3" l="1"/>
  <c r="H84" i="3"/>
  <c r="J723" i="1"/>
  <c r="J1510" i="1"/>
  <c r="H75" i="3"/>
  <c r="L933" i="1"/>
  <c r="H74" i="3" s="1"/>
  <c r="L550" i="1"/>
  <c r="L721" i="1"/>
  <c r="J457" i="1" l="1"/>
  <c r="H7" i="3"/>
  <c r="L1510" i="1"/>
  <c r="L551" i="1"/>
  <c r="L918" i="1"/>
  <c r="L457" i="1" l="1"/>
  <c r="L1517" i="1"/>
  <c r="L1096" i="1"/>
  <c r="L1095" i="1"/>
  <c r="L1518" i="1" l="1"/>
  <c r="H96" i="3" s="1"/>
  <c r="L674" i="1"/>
  <c r="L1508" i="1" l="1"/>
  <c r="L1821" i="1"/>
  <c r="L1778" i="1"/>
  <c r="L1765" i="1"/>
  <c r="L1771" i="1" l="1"/>
  <c r="H192" i="3" s="1"/>
  <c r="J1823" i="1"/>
  <c r="J1750" i="1"/>
  <c r="J1780" i="1"/>
  <c r="L1780" i="1" s="1"/>
  <c r="L1772" i="1"/>
  <c r="L1509" i="1"/>
  <c r="L1822" i="1"/>
  <c r="H201" i="3" s="1"/>
  <c r="H200" i="3" s="1"/>
  <c r="L1749" i="1"/>
  <c r="L1779" i="1"/>
  <c r="H195" i="3" s="1"/>
  <c r="L1736" i="1"/>
  <c r="L1735" i="1"/>
  <c r="L1725" i="1"/>
  <c r="L1711" i="1"/>
  <c r="L1713" i="1" s="1"/>
  <c r="J2021" i="1"/>
  <c r="J2003" i="1" s="1"/>
  <c r="L2020" i="1"/>
  <c r="L1928" i="1"/>
  <c r="L1929" i="1"/>
  <c r="L1930" i="1"/>
  <c r="L730" i="1"/>
  <c r="H50" i="3" s="1"/>
  <c r="L876" i="1"/>
  <c r="L878" i="1"/>
  <c r="L875" i="1"/>
  <c r="L2003" i="1" l="1"/>
  <c r="J215" i="1"/>
  <c r="L215" i="1" s="1"/>
  <c r="F219" i="3"/>
  <c r="F217" i="3" s="1"/>
  <c r="L1935" i="1"/>
  <c r="L1737" i="1"/>
  <c r="J2022" i="1"/>
  <c r="L1823" i="1"/>
  <c r="L1655" i="1" l="1"/>
  <c r="L1657" i="1"/>
  <c r="L1659" i="1"/>
  <c r="L1660" i="1"/>
  <c r="L1661" i="1"/>
  <c r="L1662" i="1"/>
  <c r="L1663" i="1"/>
  <c r="L1664" i="1"/>
  <c r="L1665" i="1"/>
  <c r="L1666" i="1"/>
  <c r="J714" i="1"/>
  <c r="L1574" i="1" l="1"/>
  <c r="L1651" i="1"/>
  <c r="L1667" i="1"/>
  <c r="H186" i="3" s="1"/>
  <c r="H185" i="3" s="1"/>
  <c r="L714" i="1"/>
  <c r="L885" i="1"/>
  <c r="L731" i="1"/>
  <c r="J411" i="1"/>
  <c r="L417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8" i="1"/>
  <c r="L359" i="1"/>
  <c r="L360" i="1"/>
  <c r="L361" i="1"/>
  <c r="L362" i="1"/>
  <c r="L340" i="1"/>
  <c r="L2011" i="1"/>
  <c r="L2009" i="1"/>
  <c r="L1979" i="1"/>
  <c r="L746" i="1"/>
  <c r="H53" i="3" s="1"/>
  <c r="H49" i="3" s="1"/>
  <c r="L713" i="1"/>
  <c r="L1690" i="1"/>
  <c r="L302" i="1"/>
  <c r="L303" i="1"/>
  <c r="L304" i="1"/>
  <c r="L305" i="1"/>
  <c r="L306" i="1"/>
  <c r="L307" i="1"/>
  <c r="L308" i="1"/>
  <c r="L309" i="1"/>
  <c r="L310" i="1"/>
  <c r="L312" i="1"/>
  <c r="L301" i="1"/>
  <c r="L263" i="1"/>
  <c r="L264" i="1"/>
  <c r="L265" i="1"/>
  <c r="L262" i="1"/>
  <c r="L242" i="1"/>
  <c r="L243" i="1"/>
  <c r="L244" i="1"/>
  <c r="L245" i="1"/>
  <c r="L246" i="1"/>
  <c r="L247" i="1"/>
  <c r="L248" i="1"/>
  <c r="L249" i="1"/>
  <c r="L250" i="1"/>
  <c r="L251" i="1"/>
  <c r="L252" i="1"/>
  <c r="L842" i="1" l="1"/>
  <c r="H69" i="3"/>
  <c r="L1544" i="1"/>
  <c r="H176" i="3"/>
  <c r="H175" i="3" s="1"/>
  <c r="L1691" i="1"/>
  <c r="L894" i="1"/>
  <c r="L253" i="1"/>
  <c r="L1980" i="1"/>
  <c r="L1849" i="1" s="1"/>
  <c r="L418" i="1"/>
  <c r="H251" i="3" s="1"/>
  <c r="L1699" i="1"/>
  <c r="L747" i="1"/>
  <c r="J732" i="1"/>
  <c r="L732" i="1" s="1"/>
  <c r="L2012" i="1"/>
  <c r="L363" i="1"/>
  <c r="L266" i="1"/>
  <c r="L313" i="1"/>
  <c r="L333" i="1" l="1"/>
  <c r="L1700" i="1"/>
  <c r="H191" i="3"/>
  <c r="H218" i="3"/>
  <c r="H264" i="3"/>
  <c r="L294" i="1"/>
  <c r="H265" i="3"/>
  <c r="L234" i="1"/>
  <c r="L411" i="1"/>
  <c r="J1669" i="1" l="1"/>
  <c r="F185" i="3" l="1"/>
  <c r="F182" i="3"/>
  <c r="L1669" i="1"/>
  <c r="J1098" i="1"/>
  <c r="J1057" i="1" s="1"/>
  <c r="L1097" i="1"/>
  <c r="L1098" i="1" s="1"/>
  <c r="H95" i="3" s="1"/>
  <c r="F95" i="3" l="1"/>
  <c r="L2238" i="1"/>
  <c r="J748" i="1"/>
  <c r="J2013" i="1"/>
  <c r="J1981" i="1"/>
  <c r="F209" i="3" s="1"/>
  <c r="F206" i="3" s="1"/>
  <c r="J1700" i="1"/>
  <c r="J267" i="1"/>
  <c r="L314" i="1" l="1"/>
  <c r="L2013" i="1"/>
  <c r="L1981" i="1"/>
  <c r="H209" i="3" s="1"/>
  <c r="L1973" i="1"/>
  <c r="H208" i="3" s="1"/>
  <c r="L748" i="1"/>
  <c r="L267" i="1"/>
  <c r="H206" i="3" l="1"/>
  <c r="H238" i="3"/>
  <c r="H263" i="3" l="1"/>
  <c r="J927" i="1"/>
  <c r="H81" i="3" l="1"/>
  <c r="L927" i="1"/>
  <c r="L943" i="1" l="1"/>
  <c r="J1759" i="1" l="1"/>
  <c r="H190" i="3"/>
  <c r="J1714" i="1" l="1"/>
  <c r="L1714" i="1" s="1"/>
  <c r="L2022" i="1"/>
  <c r="L1759" i="1"/>
  <c r="L1519" i="1"/>
  <c r="L1726" i="1"/>
  <c r="H189" i="3" s="1"/>
  <c r="J1727" i="1"/>
  <c r="L1876" i="1" l="1"/>
  <c r="L1887" i="1"/>
  <c r="L934" i="1"/>
  <c r="L1727" i="1"/>
  <c r="H188" i="3" l="1"/>
  <c r="L2021" i="1" l="1"/>
  <c r="L1748" i="1"/>
  <c r="H219" i="3" l="1"/>
  <c r="K214" i="1"/>
  <c r="L214" i="1" s="1"/>
  <c r="H71" i="3"/>
  <c r="L1750" i="1" l="1"/>
  <c r="L723" i="1"/>
  <c r="L1636" i="1" l="1"/>
  <c r="L1003" i="1" l="1"/>
  <c r="L1932" i="1" l="1"/>
  <c r="L1937" i="1" l="1"/>
  <c r="L907" i="1" l="1"/>
  <c r="L1793" i="1"/>
  <c r="H197" i="3" l="1"/>
  <c r="L1794" i="1"/>
  <c r="L1339" i="1" l="1"/>
  <c r="L1340" i="1"/>
  <c r="H145" i="3" l="1"/>
  <c r="L1542" i="1"/>
  <c r="F175" i="3" l="1"/>
  <c r="H226" i="3" l="1"/>
  <c r="H217" i="3" s="1"/>
  <c r="L868" i="1" l="1"/>
  <c r="H67" i="3" l="1"/>
  <c r="K205" i="1" l="1"/>
  <c r="L205" i="1" s="1"/>
  <c r="G67" i="3"/>
  <c r="G281" i="3" s="1"/>
  <c r="L1136" i="1" l="1"/>
  <c r="K219" i="1"/>
  <c r="L43" i="1" l="1"/>
  <c r="K156" i="1" l="1"/>
  <c r="K153" i="1"/>
  <c r="K154" i="1"/>
  <c r="J91" i="1"/>
  <c r="K152" i="1" l="1"/>
  <c r="L91" i="1"/>
  <c r="L111" i="1" l="1"/>
  <c r="L113" i="1"/>
  <c r="L112" i="1"/>
  <c r="K169" i="1" s="1"/>
  <c r="L114" i="1"/>
  <c r="L110" i="1" l="1"/>
  <c r="L116" i="1"/>
  <c r="L117" i="1"/>
  <c r="L115" i="1"/>
  <c r="K170" i="1" s="1"/>
  <c r="L119" i="1" l="1"/>
  <c r="L120" i="1"/>
  <c r="L123" i="1"/>
  <c r="J122" i="1"/>
  <c r="L122" i="1" l="1"/>
  <c r="K171" i="1" s="1"/>
  <c r="L125" i="1"/>
  <c r="L126" i="1"/>
  <c r="L127" i="1"/>
  <c r="L128" i="1"/>
  <c r="L124" i="1"/>
  <c r="L130" i="1"/>
  <c r="J129" i="1"/>
  <c r="L129" i="1" s="1"/>
  <c r="K172" i="1" l="1"/>
  <c r="L132" i="1"/>
  <c r="L133" i="1"/>
  <c r="L99" i="1"/>
  <c r="L134" i="1"/>
  <c r="L100" i="1"/>
  <c r="L135" i="1"/>
  <c r="J131" i="1"/>
  <c r="L131" i="1" s="1"/>
  <c r="L97" i="1"/>
  <c r="L101" i="1"/>
  <c r="L137" i="1"/>
  <c r="L104" i="1"/>
  <c r="J136" i="1"/>
  <c r="L102" i="1" s="1"/>
  <c r="L139" i="1"/>
  <c r="L106" i="1"/>
  <c r="J138" i="1"/>
  <c r="L138" i="1" s="1"/>
  <c r="L136" i="1" l="1"/>
  <c r="K175" i="1" s="1"/>
  <c r="L105" i="1"/>
  <c r="L141" i="1"/>
  <c r="L98" i="1" l="1"/>
  <c r="J140" i="1"/>
  <c r="L109" i="1"/>
  <c r="L107" i="1"/>
  <c r="L140" i="1" l="1"/>
  <c r="J142" i="1"/>
  <c r="L96" i="1"/>
  <c r="L103" i="1"/>
  <c r="K168" i="1" s="1"/>
  <c r="K167" i="1" l="1"/>
  <c r="K181" i="1"/>
  <c r="K182" i="1" s="1"/>
  <c r="K195" i="1" s="1"/>
  <c r="L121" i="1"/>
  <c r="L118" i="1"/>
  <c r="K166" i="1" s="1"/>
  <c r="K165" i="1" l="1"/>
  <c r="K177" i="1"/>
  <c r="K176" i="1"/>
  <c r="L142" i="1"/>
  <c r="K178" i="1" l="1"/>
  <c r="L1170" i="1"/>
  <c r="H114" i="3" s="1"/>
  <c r="F114" i="3"/>
  <c r="F94" i="3" s="1"/>
  <c r="L1168" i="1"/>
  <c r="F281" i="3" l="1"/>
  <c r="J208" i="1"/>
  <c r="L208" i="1" s="1"/>
  <c r="L1057" i="1"/>
  <c r="L564" i="1"/>
  <c r="H26" i="3" s="1"/>
  <c r="H11" i="3" s="1"/>
  <c r="L472" i="1"/>
  <c r="J562" i="1"/>
  <c r="L562" i="1" s="1"/>
  <c r="L2325" i="1" l="1"/>
  <c r="H94" i="3"/>
  <c r="H281" i="3" s="1"/>
  <c r="J2329" i="1"/>
  <c r="J2338" i="1" s="1"/>
  <c r="J203" i="1"/>
  <c r="J219" i="1" s="1"/>
  <c r="J2325" i="1"/>
  <c r="L2329" i="1" l="1"/>
  <c r="L2338" i="1" s="1"/>
  <c r="L203" i="1"/>
  <c r="L219" i="1" s="1"/>
</calcChain>
</file>

<file path=xl/sharedStrings.xml><?xml version="1.0" encoding="utf-8"?>
<sst xmlns="http://schemas.openxmlformats.org/spreadsheetml/2006/main" count="3119" uniqueCount="1090">
  <si>
    <t>Економска 
класификација</t>
  </si>
  <si>
    <t>Врста расхода</t>
  </si>
  <si>
    <t>Плате, додаци и накнаде запослених (зараде)</t>
  </si>
  <si>
    <t>Социјални доприноси на терет послодавца</t>
  </si>
  <si>
    <t xml:space="preserve">Социјална давања запосленима 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</si>
  <si>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</si>
  <si>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</si>
  <si>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</si>
  <si>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</si>
  <si>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</si>
  <si>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</si>
  <si>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</si>
  <si>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</si>
  <si>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Отплата домаћих камата</t>
  </si>
  <si>
    <t>Пратећи трошкови задуживања</t>
  </si>
  <si>
    <t>Субвенције предузећима</t>
  </si>
  <si>
    <t>Трансфери осталим новоима власти</t>
  </si>
  <si>
    <t xml:space="preserve">Порези, обавезне таксе и казне </t>
  </si>
  <si>
    <t xml:space="preserve">Новчане казне и пенали по решењу судова </t>
  </si>
  <si>
    <t>Накнада штете</t>
  </si>
  <si>
    <t xml:space="preserve">Зграде и грађевински објекти </t>
  </si>
  <si>
    <t>Машине и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</si>
  <si>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</si>
  <si>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</si>
  <si>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</si>
  <si>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</si>
  <si>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Набавка домаће финансијске имовине</t>
  </si>
  <si>
    <t>Раздео</t>
  </si>
  <si>
    <t>Глава</t>
  </si>
  <si>
    <t>Функционална 
класификација</t>
  </si>
  <si>
    <t>Позиција</t>
  </si>
  <si>
    <t>6</t>
  </si>
  <si>
    <t>СКУПШТИНА ОПШТИНЕ</t>
  </si>
  <si>
    <t>Накнаде у натури</t>
  </si>
  <si>
    <t>Социјална давања запосленима</t>
  </si>
  <si>
    <t>Материјал</t>
  </si>
  <si>
    <t>Дотације невладиним организацијама-политичке странке</t>
  </si>
  <si>
    <t>01</t>
  </si>
  <si>
    <t>Приходи из буџета</t>
  </si>
  <si>
    <t>ИЗБОРНА КОМИСИЈА</t>
  </si>
  <si>
    <t>другом месту</t>
  </si>
  <si>
    <t xml:space="preserve">Текућа резерва </t>
  </si>
  <si>
    <t>Стална резерва</t>
  </si>
  <si>
    <t xml:space="preserve">Дотације невладиним организацијама-Црвени крст </t>
  </si>
  <si>
    <t>Верске и друге услуге заједнице</t>
  </si>
  <si>
    <t xml:space="preserve">Рекреација, култура и вере некласификоване на </t>
  </si>
  <si>
    <t>424</t>
  </si>
  <si>
    <t xml:space="preserve">Услуге рекреације и спорта </t>
  </si>
  <si>
    <t>III</t>
  </si>
  <si>
    <t>ОПШТИНСКА УПРАВА</t>
  </si>
  <si>
    <t>Опште услуге</t>
  </si>
  <si>
    <t xml:space="preserve">Машине и опрема </t>
  </si>
  <si>
    <t>1</t>
  </si>
  <si>
    <t>МЕСНЕ ЗАЈЕДНИЦЕ</t>
  </si>
  <si>
    <t xml:space="preserve">Порези, обавезне таксе и казне  </t>
  </si>
  <si>
    <t>04</t>
  </si>
  <si>
    <t>Сопствени приходи</t>
  </si>
  <si>
    <t>ТУРИЗАМ</t>
  </si>
  <si>
    <t>Туристичка организација општине Инђија</t>
  </si>
  <si>
    <t>Предшколско образовање</t>
  </si>
  <si>
    <t>3</t>
  </si>
  <si>
    <t>ПУ "Бошко Буха"</t>
  </si>
  <si>
    <t>Основно образовање</t>
  </si>
  <si>
    <t>413 Накнаде у натури</t>
  </si>
  <si>
    <t>414 Социјална давања запосленима</t>
  </si>
  <si>
    <t>415 Накнаде трошкова за запослене</t>
  </si>
  <si>
    <t>416 Награде запосленима и остали посебни расходи</t>
  </si>
  <si>
    <t>421 Стални трошкови</t>
  </si>
  <si>
    <t>422 Трошкови путовања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</si>
  <si>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</si>
  <si>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</si>
  <si>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</si>
  <si>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</si>
  <si>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 xml:space="preserve">482 Порези, обавезне таксе и казне </t>
  </si>
  <si>
    <t>511 Зграде и грађевински објекти</t>
  </si>
  <si>
    <t>512 Машине и опрема</t>
  </si>
  <si>
    <t>Средње образовање</t>
  </si>
  <si>
    <t>515 Нематеријална имовина</t>
  </si>
  <si>
    <t>Високо образовање</t>
  </si>
  <si>
    <t>Образовање које није дефинисано нивоом</t>
  </si>
  <si>
    <t>423</t>
  </si>
  <si>
    <t>Услуге по уговору - Поклони за вуковце</t>
  </si>
  <si>
    <t>451</t>
  </si>
  <si>
    <t>Услуге културе</t>
  </si>
  <si>
    <t>Народна библиотека "Др Ђорђе Натошевић"</t>
  </si>
  <si>
    <t>Установа Културни центар</t>
  </si>
  <si>
    <t>090</t>
  </si>
  <si>
    <t>Социјална заштита некласификована на другом месту</t>
  </si>
  <si>
    <t>010</t>
  </si>
  <si>
    <t>Болест и инвалидност</t>
  </si>
  <si>
    <t>Накнаде за социјалну заштиту из буџета - ЦИР</t>
  </si>
  <si>
    <t>070</t>
  </si>
  <si>
    <t>Социјална помоћ угроженом становништву</t>
  </si>
  <si>
    <t>некласификована на другом месту</t>
  </si>
  <si>
    <t>040</t>
  </si>
  <si>
    <t>Породица и деца</t>
  </si>
  <si>
    <t>Накнаде за социјалну заштиту из буџета-пут. тр. ОШ</t>
  </si>
  <si>
    <t>Накнаде за социјалну заштиту из буџета-пут. тр. СШ</t>
  </si>
  <si>
    <t>Накнаде за социјалну заштиту из буџета - Прво дете</t>
  </si>
  <si>
    <t>Накнаде за социјалну заштиту из буџета - Бесплатне ужине</t>
  </si>
  <si>
    <t>060</t>
  </si>
  <si>
    <t>Становање</t>
  </si>
  <si>
    <t>Накнаде из буџета за становање за живот-домски смештај</t>
  </si>
  <si>
    <t>Опште медицинске услуге</t>
  </si>
  <si>
    <t>Новчане казне и пенали по решењу судова</t>
  </si>
  <si>
    <t>Развој заједнице</t>
  </si>
  <si>
    <t>Специјализоване услуге - планска документација</t>
  </si>
  <si>
    <t>Водоснабдевање</t>
  </si>
  <si>
    <t>Специјализоване услуге - противградна заштита</t>
  </si>
  <si>
    <t>Остале делатности</t>
  </si>
  <si>
    <t>Извори финансирања за функцију 487:</t>
  </si>
  <si>
    <t>Економски послови некласификовани на другом месту</t>
  </si>
  <si>
    <t>Управљање отпадом</t>
  </si>
  <si>
    <t>07</t>
  </si>
  <si>
    <t>Вишенаменски развојни пројекти</t>
  </si>
  <si>
    <t xml:space="preserve">Субвенције  предузећима </t>
  </si>
  <si>
    <t>Специјализоване услуге-пројекти</t>
  </si>
  <si>
    <t>Врста прихода</t>
  </si>
  <si>
    <t>ПОРЕЗИ НА ДОХОДАК, ДОБИТ И КАПИТАЛНЕ ДОБИТКЕ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</si>
  <si>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</si>
  <si>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</si>
  <si>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</si>
  <si>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приходе од осигурања лица</t>
  </si>
  <si>
    <t>Самодопринос</t>
  </si>
  <si>
    <t>Порез на друге приходе</t>
  </si>
  <si>
    <t>ПОРЕЗ НА ИМОВИНУ</t>
  </si>
  <si>
    <t>Порез на имовину</t>
  </si>
  <si>
    <t>Порез на наслеђе и поклон</t>
  </si>
  <si>
    <t>Порез на капиталне трансакције</t>
  </si>
  <si>
    <t>Порез на акције на име и уделе</t>
  </si>
  <si>
    <t>ПОРЕЗИ НА ДОБРА И УСЛУГЕ</t>
  </si>
  <si>
    <t>Комунална такса за коришћење рекламних паноа</t>
  </si>
  <si>
    <t>Порези, таксе и накнаде на моторна возила</t>
  </si>
  <si>
    <t>Накнаде за коришћење добара од општег интереса</t>
  </si>
  <si>
    <t>Концесионе накнаде и боравишне таксе</t>
  </si>
  <si>
    <t>Општинске и градске накнаде</t>
  </si>
  <si>
    <t>Општинске комуналне таксе</t>
  </si>
  <si>
    <t>ДРУГИ ПОРЕЗИ</t>
  </si>
  <si>
    <t>Комунална такса на фирму</t>
  </si>
  <si>
    <t>ДОНАЦИЈЕ ОД МЕЂУНАРОДНИХ ОРГАНИЗАЦИЈА</t>
  </si>
  <si>
    <t>Текуће донације од међ. орг. у корист нивоа општина</t>
  </si>
  <si>
    <t>Капиталне донације од међ. орг. у корист нивоа општина</t>
  </si>
  <si>
    <t>ТРАНСФЕРИ ОД ДРУГИХ НИВОА ВЛАСТИ</t>
  </si>
  <si>
    <t xml:space="preserve">        </t>
  </si>
  <si>
    <t>ПРИХОДИ ОД ИМОВИНЕ</t>
  </si>
  <si>
    <t>Камате на средства буџета општина</t>
  </si>
  <si>
    <t>Накнада за коришћење шумског и пољопривредног земљишта</t>
  </si>
  <si>
    <t>Накнада за коришћење простора и грађевинског земљишта</t>
  </si>
  <si>
    <t>ПРИХОДИ ОД ПРОДАЈЕ ДОБАРА И УСЛУГА</t>
  </si>
  <si>
    <t>Таксе у корист нивоа општина</t>
  </si>
  <si>
    <t>НОВЧАНЕ КАЗНЕ И ОДУЗЕТА ИМОВИНСКА КОРИСТ</t>
  </si>
  <si>
    <t>Приходи од новчаних казни у корист нивоа општина</t>
  </si>
  <si>
    <t>МЕШОВИТИ И НЕОДРЕЂЕНИ ПРИХОДИ</t>
  </si>
  <si>
    <t>ПРИМАЊА ОД ПРОДАЈЕ ЗЕМЉИШТА</t>
  </si>
  <si>
    <t>УКУПНИ ПРИХОДИ И ПРИМАЊА БУЏЕТА</t>
  </si>
  <si>
    <t>Јавни ред и безбедност некласификован на другом месту</t>
  </si>
  <si>
    <t>Средства из буџета</t>
  </si>
  <si>
    <t>Укупна средства</t>
  </si>
  <si>
    <t>РАСХОДИ ЗА ЗАПОСЛЕНЕ</t>
  </si>
  <si>
    <t xml:space="preserve">Накнаде у натури </t>
  </si>
  <si>
    <t>КОРИШЋЕЊЕ УСЛУГА И РОБА</t>
  </si>
  <si>
    <t xml:space="preserve">Материјал 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</si>
  <si>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</si>
  <si>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</si>
  <si>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</si>
  <si>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Субвенције јавним нефинансијским предузећима и организ.</t>
  </si>
  <si>
    <t xml:space="preserve">ДОНАЦИЈЕ, ДОТАЦИЈЕ И ТРАНСФЕРИ </t>
  </si>
  <si>
    <t>Остале дотације и трансфери</t>
  </si>
  <si>
    <t>СОЦИЈАЛНО ОСИГУРАЊЕ И СОЦИЈАЛНА ЗАШТИТА</t>
  </si>
  <si>
    <t>Накнаде за социјалну заштиту из буџета</t>
  </si>
  <si>
    <t>ОСТАЛИ РАСХОДИ</t>
  </si>
  <si>
    <t xml:space="preserve">Дотације невладиним организацијама </t>
  </si>
  <si>
    <t>Средства резерве</t>
  </si>
  <si>
    <t>ОСНОВНА СРЕДСТВА</t>
  </si>
  <si>
    <t>ЗАЛИХЕ</t>
  </si>
  <si>
    <t>ПРИРОДНА ИМОВИНА</t>
  </si>
  <si>
    <t>НАБАВКА ФИНАНСИЈСКЕ ИМОВИНЕ</t>
  </si>
  <si>
    <t>УКУПНО:</t>
  </si>
  <si>
    <t>Примања од продаје земљишта у корист нивоа општина</t>
  </si>
  <si>
    <t xml:space="preserve">Специјализоване услуге - Уређење каналске мреже </t>
  </si>
  <si>
    <t>О Д Л У К У</t>
  </si>
  <si>
    <t>Члан 1.</t>
  </si>
  <si>
    <t>Члан 4.</t>
  </si>
  <si>
    <t>Члан 5.</t>
  </si>
  <si>
    <t>А. РАЧУН ПРИХОДА И ПРИМАЊА, РАСХОДА И ИЗДАТАКА БУЏЕТА ОПШТИНЕ</t>
  </si>
  <si>
    <t>I. УКУПНИ ПРИХОДИ</t>
  </si>
  <si>
    <t>Текући приходи:</t>
  </si>
  <si>
    <t>1. Порески приходи</t>
  </si>
  <si>
    <t>1.1. Порез на доходак, добит и капиталне добитке</t>
  </si>
  <si>
    <t>1.2. Порез на добра и услуге</t>
  </si>
  <si>
    <t>1.3. Остали порески приходи</t>
  </si>
  <si>
    <t>2. Непорески приходи, од чега:</t>
  </si>
  <si>
    <t>- наплаћене камате</t>
  </si>
  <si>
    <t>- накнада за коришћење простора и грађевинског земљишта</t>
  </si>
  <si>
    <t>4. Донације</t>
  </si>
  <si>
    <t>5. Трансфери</t>
  </si>
  <si>
    <t>Капитални приходи -  примања од продаје нефинансијске имовине</t>
  </si>
  <si>
    <t>II. УКУПНИ РАСХОДИ</t>
  </si>
  <si>
    <t>1. Расходи за запослене</t>
  </si>
  <si>
    <t>2. Коришћење услуга и роба</t>
  </si>
  <si>
    <t>3. Отплата камата</t>
  </si>
  <si>
    <t>4. Субвенције</t>
  </si>
  <si>
    <t>5. Издаци за социјалну заштиту</t>
  </si>
  <si>
    <t>6. Остали расходи</t>
  </si>
  <si>
    <t>7. Текући трансфери</t>
  </si>
  <si>
    <t>8. Капитални трансфери</t>
  </si>
  <si>
    <t>Капитални расходи</t>
  </si>
  <si>
    <t>III. БУЏЕТСКИ СУФИЦИТ (БУЏЕТСКИ ДЕФИЦИТ) (I-II)</t>
  </si>
  <si>
    <t>1.2. Задуживање код осталих кредитора</t>
  </si>
  <si>
    <t>2. Примања од иностраног задуживања</t>
  </si>
  <si>
    <t>1. Отплата главнице домаћим кредиторима</t>
  </si>
  <si>
    <t>1.2. Отплата главнице осталим кредиторима</t>
  </si>
  <si>
    <t>2. Отплата главнице страним кредиторима</t>
  </si>
  <si>
    <t>II  ПОСЕБАН ДЕО</t>
  </si>
  <si>
    <t>I  ОПШТИ ДЕО</t>
  </si>
  <si>
    <t>483 Новчане казне и пенали по решењу судова</t>
  </si>
  <si>
    <t>Остале текуће донације и трансфери</t>
  </si>
  <si>
    <t xml:space="preserve"> </t>
  </si>
  <si>
    <t xml:space="preserve">483 Новчане казне и пенали по решењу судова </t>
  </si>
  <si>
    <t>Студентске стипендије</t>
  </si>
  <si>
    <t>481</t>
  </si>
  <si>
    <t>Остале текуће дотације и трансфери</t>
  </si>
  <si>
    <t>Трансфери осталим нивоима власти</t>
  </si>
  <si>
    <t>Специјализоване услуге - одржавање путних прелаза</t>
  </si>
  <si>
    <t xml:space="preserve">426 </t>
  </si>
  <si>
    <t>ПРОГРАМ 4 - РАЗВОЈ ТУРИЗМА</t>
  </si>
  <si>
    <t>1502-0001</t>
  </si>
  <si>
    <t>Управљање развојем туризма</t>
  </si>
  <si>
    <t>Функционисање предшколских установа</t>
  </si>
  <si>
    <t>2001-0001</t>
  </si>
  <si>
    <t>2002-0001</t>
  </si>
  <si>
    <t>Функционисање основних школа</t>
  </si>
  <si>
    <t>2003-0001</t>
  </si>
  <si>
    <t>Функционисање средњих школа</t>
  </si>
  <si>
    <t>1201-0001</t>
  </si>
  <si>
    <t>Функционисање локалних установа културе</t>
  </si>
  <si>
    <t>1502-0002</t>
  </si>
  <si>
    <t>Програмска активност 0002 (ПА 0002)</t>
  </si>
  <si>
    <t>1201-0002</t>
  </si>
  <si>
    <t>0602</t>
  </si>
  <si>
    <t>1301</t>
  </si>
  <si>
    <t>ПРОГРАМ 14 - РАЗВОЈ СПОРТА И ОМЛАДИНЕ</t>
  </si>
  <si>
    <t>0901</t>
  </si>
  <si>
    <t>0901-0001</t>
  </si>
  <si>
    <t>0901-0006</t>
  </si>
  <si>
    <t>0901-0002</t>
  </si>
  <si>
    <t>0901-0005</t>
  </si>
  <si>
    <t>1801</t>
  </si>
  <si>
    <t>1801-0001</t>
  </si>
  <si>
    <t>1101</t>
  </si>
  <si>
    <t>1101-0001</t>
  </si>
  <si>
    <t>0701</t>
  </si>
  <si>
    <t>0701-0002</t>
  </si>
  <si>
    <t>1501</t>
  </si>
  <si>
    <t>0101</t>
  </si>
  <si>
    <t>0101-0001</t>
  </si>
  <si>
    <t>1501-0003</t>
  </si>
  <si>
    <t>0401</t>
  </si>
  <si>
    <t>ПРОГРАМ 6 - ЗАШТИТА ЖИВОТНЕ СРЕДИНЕ</t>
  </si>
  <si>
    <t>Управљање комуналним отпадом</t>
  </si>
  <si>
    <t>09</t>
  </si>
  <si>
    <t>Примања од продаје нефинансијске имовине</t>
  </si>
  <si>
    <t>0602-0001</t>
  </si>
  <si>
    <t>Функционисање локалне самоуправе и градских општина</t>
  </si>
  <si>
    <t>0602-0010</t>
  </si>
  <si>
    <t>1501-0001</t>
  </si>
  <si>
    <t>1301-0001</t>
  </si>
  <si>
    <t>Подршка локалним спортским организацијама, удружењима и савезима</t>
  </si>
  <si>
    <t>0602-0002</t>
  </si>
  <si>
    <t>426</t>
  </si>
  <si>
    <t>511</t>
  </si>
  <si>
    <t>513</t>
  </si>
  <si>
    <t>Програмска активност 0001 (ПА 0001)</t>
  </si>
  <si>
    <t>Програмска активност 0010 (ПА 0010)</t>
  </si>
  <si>
    <t>Програмска активност 0003 (ПА 0003)</t>
  </si>
  <si>
    <t>Програмска активност 0005 (ПА 0005)</t>
  </si>
  <si>
    <t>Програмска активност 0009 (ПА 0009)</t>
  </si>
  <si>
    <t>Услуге по уговору - Буџетски фонд за заштиту животне средине</t>
  </si>
  <si>
    <t>I</t>
  </si>
  <si>
    <t>II</t>
  </si>
  <si>
    <t>Трансфери од других нивоа власти</t>
  </si>
  <si>
    <t>Расходи из додатних прихода корисника</t>
  </si>
  <si>
    <t>4</t>
  </si>
  <si>
    <t>5</t>
  </si>
  <si>
    <t>7</t>
  </si>
  <si>
    <t>8</t>
  </si>
  <si>
    <t>Програм</t>
  </si>
  <si>
    <t>Програмска активност</t>
  </si>
  <si>
    <t>Опште јавне услуге које нису класификоване на другом месту</t>
  </si>
  <si>
    <t>Извршни и законодавни органи, финансијски и фискални послови и спољни послови</t>
  </si>
  <si>
    <t>УКУПНО  ПРОГРАМСКА АКТИВНОСТ 1502-0001</t>
  </si>
  <si>
    <t>УКУПНО  ПРОГРАМСКА АКТИВНОСТ 1502-0002</t>
  </si>
  <si>
    <t>ОПШТЕ ЈАВНЕ УСЛУГЕ КОЈЕ НИСУ КЛАСИФИКОВАНЕ НА ДРУГОМ МЕСТУ</t>
  </si>
  <si>
    <t>УКУПНО  ПРОГРАМСКА АКТИВНОСТ 1201-0001</t>
  </si>
  <si>
    <t>УКУПНО  ПРОГРАМСКА АКТИВНОСТ 1201-0002</t>
  </si>
  <si>
    <t>Субвенције јавним нефинансијским предузећима и организацијама - Установа Спортски центар</t>
  </si>
  <si>
    <t>Трансфери осталим нивоима власти-Центар за социјални рад "Дунав"</t>
  </si>
  <si>
    <t>Накнаде за социјалну заштиту из буџета - НОР и кадровачка помоћ</t>
  </si>
  <si>
    <t>Накнаде за социјалну заштиту из буџета - ПРОЈЕКТИ  из области социјалне заштите</t>
  </si>
  <si>
    <t>Накнаде за социјалну заштиту из буџета - Боравак деце у предшколским установама</t>
  </si>
  <si>
    <t xml:space="preserve">Пољопривреда </t>
  </si>
  <si>
    <t>Субвенције јавним нефинансијским предузећима и организацијама - АГЕНЦИЈА ЗА ИТ, ГИС И КОМУНИКАЦИЈЕ ОПШТИНЕ ИНЂИЈА</t>
  </si>
  <si>
    <t>Субвенције јавним нефинансијским предузећима и организацијама - АГЕНЦИЈА ЗА ЕКОНОМСКИ РАЗВОЈ ОПШТИНЕ ИНЂИЈА</t>
  </si>
  <si>
    <t>Заштита животне средине некласификована на другом месту</t>
  </si>
  <si>
    <t>Накнаде за социјалну заштиту из буџета - За подстицај запошљавања</t>
  </si>
  <si>
    <t>Дотације невладиним организацијама-Социохуманитарне организације</t>
  </si>
  <si>
    <t>Услуге по уговору - Регионална развојна агенција Срем</t>
  </si>
  <si>
    <t>Дотације невладиним организацијама - Програми и пројекти у области културе</t>
  </si>
  <si>
    <t>Дотације невладиним организацијама - спортске организације и спортисти</t>
  </si>
  <si>
    <t>Субвенције јавним нефинансијским предузећима и организацијама - ПОСЛОВНО - ОБРАЗОВНИ ЦЕНТАР   ИНЂИЈА</t>
  </si>
  <si>
    <t>Програмска активност 0006 (ПА 0006)</t>
  </si>
  <si>
    <t>Функционисање установа примарне здравствене заштите</t>
  </si>
  <si>
    <t>УКУПНИ ПРИХОДИ</t>
  </si>
  <si>
    <t>Капитални трансфери од других нивоа власти у корист нивоа општине</t>
  </si>
  <si>
    <t>Приходи општ.орг. од споредне продаје доб.и услуга које врше државне нетржишне јединице</t>
  </si>
  <si>
    <t>Приходи од новчаних казни за прекршаје у корист нивоа Републике</t>
  </si>
  <si>
    <t>Мешовити и неодређени приходи у корист нивоа општина</t>
  </si>
  <si>
    <t xml:space="preserve">Специјализоване услуге - Услуге одржавања природних површина </t>
  </si>
  <si>
    <t>Субвенције јавним нефинансијским предузећима и организацијама - АГЕНЦИЈА ЗА РУРАЛНИ РАЗВОЈ ОПШТИНЕ ИНЂИЈА</t>
  </si>
  <si>
    <t>АДМИНИСТРАТИВНИ ТРАНСФЕРИ ИЗ БУЏЕТА И СРЕДСТВА РЕЗЕРВЕ</t>
  </si>
  <si>
    <t>Накнаде за социјалну заштиту из буџета-путни трошкови студената</t>
  </si>
  <si>
    <t>Накнаде за социјалну заштиту из буџета - Народна кухиња</t>
  </si>
  <si>
    <t>Дотације организацијама обавезног социјалног осигурања</t>
  </si>
  <si>
    <t>1.1. Отплата главнице домаћим јавним финансијским институцијама и пословним банкама</t>
  </si>
  <si>
    <t>Економска
класификација</t>
  </si>
  <si>
    <t>71</t>
  </si>
  <si>
    <t>711</t>
  </si>
  <si>
    <t>714</t>
  </si>
  <si>
    <t>712+713+716+719</t>
  </si>
  <si>
    <t>74</t>
  </si>
  <si>
    <t>7411</t>
  </si>
  <si>
    <t>7415</t>
  </si>
  <si>
    <t>772</t>
  </si>
  <si>
    <t>731+732</t>
  </si>
  <si>
    <t>733</t>
  </si>
  <si>
    <t>41</t>
  </si>
  <si>
    <t>42</t>
  </si>
  <si>
    <t>44</t>
  </si>
  <si>
    <t>45</t>
  </si>
  <si>
    <t>47</t>
  </si>
  <si>
    <t>48+49</t>
  </si>
  <si>
    <t>4631</t>
  </si>
  <si>
    <t>4632</t>
  </si>
  <si>
    <t>(7+8)-(4+5)</t>
  </si>
  <si>
    <t>92</t>
  </si>
  <si>
    <t>91</t>
  </si>
  <si>
    <t>911</t>
  </si>
  <si>
    <t>9113+9114</t>
  </si>
  <si>
    <t>912</t>
  </si>
  <si>
    <t>62</t>
  </si>
  <si>
    <t>61</t>
  </si>
  <si>
    <t>611</t>
  </si>
  <si>
    <t>6113+6114</t>
  </si>
  <si>
    <t>612</t>
  </si>
  <si>
    <t>Члан 7.</t>
  </si>
  <si>
    <t>(7-7411+8)-(4-44+5)</t>
  </si>
  <si>
    <t>92-62</t>
  </si>
  <si>
    <t>ПРИМАРНИ СУФИЦИТ (ДЕФИЦИТ) (УКУПНИ ПРИХОДИ УМАЊЕНИ ЗА НАПЛАЋЕНЕ КАМАТЕ МИНУС УКУПНИ РАСХОДИ УМАЊЕНИ ЗА ПЛАЋЕНЕ КАМАТЕ)</t>
  </si>
  <si>
    <t>УКУПНИ ФИСКАЛНИ РЕЗУЛТАТ (III+VI)</t>
  </si>
  <si>
    <t>Б.ПРИМАЊА И ИЗДАЦИ ПО ОСНОВУ ПРОДАЈЕ, ОДНОСНО НАБАВКЕ ФИНАНСИЈСКЕ ИМОВИНЕ И ДАТИХ КРЕДИТА</t>
  </si>
  <si>
    <t>IV. ПРИМАЊА ОД ПРОДАЈЕ ФИНАНСИЈСКЕ ИМОВИНЕ И ОТПЛАТЕ ДАТИХ КРЕДИТА</t>
  </si>
  <si>
    <t>VII. ПРИМАЊА ОД ЗАДУЖИВАЊА</t>
  </si>
  <si>
    <t>1. Примања од  домаћих задуживања</t>
  </si>
  <si>
    <t>1.1. Задуживање код јавних финасијских институција и пословних банака</t>
  </si>
  <si>
    <t>9111+9112+9115+9116+9117+9118+9119</t>
  </si>
  <si>
    <t>VIII. ОТПЛАТА ГЛАВНИЦЕ</t>
  </si>
  <si>
    <t>6111+6112+6115+6116+6117+6118+6119</t>
  </si>
  <si>
    <t>X. НЕТО ФИНАСИРАЊЕ (VI+VII-VIII-IX)=-III</t>
  </si>
  <si>
    <t>3. Меморандумске ставке за рефундацију расхода из претходне године</t>
  </si>
  <si>
    <t>Текући расходи</t>
  </si>
  <si>
    <t>В. ЗАДУЖИВАЊЕ И ОТПЛАТА ДУГА</t>
  </si>
  <si>
    <t>VI. ПРИМАЊА ПО ОСНОВУ ПРОДАЈЕ ФИНАНСИЈСКЕ ИМОВИНЕ И ОТПЛАТЕ КРЕДИТА МИНУС ИЗДАЦИ ПО ОСНОВУ ДАТИХ КРЕДИТА И НАБАВКЕ ФИНАСИЈСКЕ ИМОВИНЕ</t>
  </si>
  <si>
    <t>IX. ВИШАК ПРИХОДА И ПРИМАЊА - СУФИЦИТ (III+VI+VII-VIII)</t>
  </si>
  <si>
    <t>НАЗИВ ПРОГРАМА</t>
  </si>
  <si>
    <t>ШИФРА ПРОГРАМА</t>
  </si>
  <si>
    <t>ПРОГРАМ</t>
  </si>
  <si>
    <t>РАЗВОЈ ТУРИЗМА</t>
  </si>
  <si>
    <t>1502</t>
  </si>
  <si>
    <t>ЛОКАЛНИ ЕКОНОМСКИ РАЗВОЈ</t>
  </si>
  <si>
    <t>ЗАШТИТА ЖИВОТНЕ СРЕДИНЕ</t>
  </si>
  <si>
    <t>2001</t>
  </si>
  <si>
    <t>2002</t>
  </si>
  <si>
    <t>2003</t>
  </si>
  <si>
    <t>СОЦИЈАЛНА И ДЕЧИЈА ЗАШТИТА</t>
  </si>
  <si>
    <t>1201</t>
  </si>
  <si>
    <t>РАЗВОЈ СПОРТА И ОМЛАДИНЕ</t>
  </si>
  <si>
    <t>МЕМОРАНДУМСКЕ СТАВКЕ ЗА РЕФУНДАЦИЈУ РАСХОДА</t>
  </si>
  <si>
    <t>Меморандумске ставке за рефундацију расхода</t>
  </si>
  <si>
    <t>Приходи индиректних корисника буџетских средстава који се остварују додатним активностима</t>
  </si>
  <si>
    <t>ДОБРОВОВОЉНИ ТРАНСФЕРИ ОД ФИЗИЧКИХ И ПРАВНИХ ЛИЦА</t>
  </si>
  <si>
    <t>Текући добровољни трансфери од физичких и правних лица у корист нивоа општина</t>
  </si>
  <si>
    <t>ПРИМАЊА ОД ПРОДАЈЕ РОБЕ ЗА ДАЉУ ПРОДАЈУ</t>
  </si>
  <si>
    <t>Примања од продаје робе за даљу продају у корист нивоа општина</t>
  </si>
  <si>
    <t>Шифра</t>
  </si>
  <si>
    <t>Назив</t>
  </si>
  <si>
    <t>Циљ</t>
  </si>
  <si>
    <t>Индикатор</t>
  </si>
  <si>
    <t xml:space="preserve"> Програмска активност/  Пројекат</t>
  </si>
  <si>
    <t>2</t>
  </si>
  <si>
    <t>Усвојен просторни план града/општине</t>
  </si>
  <si>
    <t>Програм 3.  Локални економски развој</t>
  </si>
  <si>
    <t>Програм 4.  Развој туризма</t>
  </si>
  <si>
    <t>Програм 6.  Заштита животне средине</t>
  </si>
  <si>
    <t>Програм 8.  Предшколско васпитање</t>
  </si>
  <si>
    <t xml:space="preserve">Потпуни обухват основним  образовањем и  васпитањем </t>
  </si>
  <si>
    <t>Програм 11.  Социјална  и дечја заштита</t>
  </si>
  <si>
    <t xml:space="preserve">Унапређење заштите сиромашних </t>
  </si>
  <si>
    <t>Програм 14.  Развој спорта и омладине</t>
  </si>
  <si>
    <t xml:space="preserve">УКУПНИ РАСХОДИ ПО ПРОГРАМИМА </t>
  </si>
  <si>
    <t>Текући трансфери од других нивоа власти у корист нивоа општине</t>
  </si>
  <si>
    <t>У  К  У  П  Н  О</t>
  </si>
  <si>
    <t>РАСХОДИ ИСКАЗАНИ ПО ПРОГРАМСКОЈ КЛАСИФИКАЦИЈИ- ПОСЕБАН ДЕО ЦИЉЕВИ И ИНДИКАТОРИ</t>
  </si>
  <si>
    <t>Програмска активност 0004 (ПА 0004)</t>
  </si>
  <si>
    <t>0602-0004</t>
  </si>
  <si>
    <t>IV</t>
  </si>
  <si>
    <t>472</t>
  </si>
  <si>
    <t>Накнаде за социјалну заштиту из буџета - Јавни превоз</t>
  </si>
  <si>
    <t>416</t>
  </si>
  <si>
    <t>Трансфери од осталих нивоа власти</t>
  </si>
  <si>
    <t>0101-0002</t>
  </si>
  <si>
    <t>Субвенције јавним нефинансијским предузећима и организацијама -
БУЏЕТСКИ ФОНД ЗА ПОЉОПРИВРЕДУ И РУРАЛНИ РАЗВОЈ ОПШТИНЕ ИНЂИЈА</t>
  </si>
  <si>
    <t xml:space="preserve">Специјализоване услуге </t>
  </si>
  <si>
    <t>Остале новчане казне, пенали и приходи од одузете имовинске користи у корист нивоа републике</t>
  </si>
  <si>
    <t>Специјализоване услуге - ЈП за сакупљање и одлагање отпада и одржавање депонија "ИНГРИН"</t>
  </si>
  <si>
    <t>Порези, обавезне таксе, казне и пенали - Накнада за одводњавање</t>
  </si>
  <si>
    <t>2101-0001</t>
  </si>
  <si>
    <t>Функционисање Скупштине</t>
  </si>
  <si>
    <t>Општинско/градско правобранилаштво</t>
  </si>
  <si>
    <t>ПРОГРАМ 16 - ПОЛИТИЧКИ СИСТЕМ ЛОКАЛНЕ САМОУПРАВЕ</t>
  </si>
  <si>
    <t>2101</t>
  </si>
  <si>
    <t>ПРОГРАМ 15 - ОПШТЕ УСЛУГЕ ЛОКАЛНЕ САМОУПРАВЕ</t>
  </si>
  <si>
    <t>2101-0002</t>
  </si>
  <si>
    <t>Функционисање извршних органа</t>
  </si>
  <si>
    <t>0602-0009</t>
  </si>
  <si>
    <t>Текућа буџетска резерва</t>
  </si>
  <si>
    <t>Стална буџетска резерва</t>
  </si>
  <si>
    <t>Подршка реализацији програма Црвеног крста</t>
  </si>
  <si>
    <t>ПРОГРАМ 11 - СОЦИЈАЛНА И ДЕЧИЈА ЗАШТИТА</t>
  </si>
  <si>
    <t>Унапређење привредног  и инвестиционог амбијента</t>
  </si>
  <si>
    <t>1201-0003</t>
  </si>
  <si>
    <t>Унапређење система очувања и представљања културно-историјског наслеђа</t>
  </si>
  <si>
    <t>1201-0004</t>
  </si>
  <si>
    <t>Остваривање и унапређивање јавног интереса у области јавног информисања</t>
  </si>
  <si>
    <t>Функционисање месних заједница</t>
  </si>
  <si>
    <t xml:space="preserve">Промоција туристичке понуде </t>
  </si>
  <si>
    <t>Унапређење привредног и инвестиционог амбијента</t>
  </si>
  <si>
    <t>Јачање културне продукције и  уметничког стваралаштва</t>
  </si>
  <si>
    <t>Подршка реализацији програма  Црвеног крста</t>
  </si>
  <si>
    <t>ПРОГРАМ 10 - СРЕДЊЕ ОБРАЗОВАЊЕ И ВАСПИТАЊЕ</t>
  </si>
  <si>
    <t>ПРОГРАМ 9 - ОСНОВНО ОБРАЗОВАЊЕ И ВАСПИТАЊЕ</t>
  </si>
  <si>
    <t>ПРОГРАМ 12 -  ЗДРАВСТВЕНА ЗАШТИТА</t>
  </si>
  <si>
    <t>Управљање/одржавање јавним осветљењем</t>
  </si>
  <si>
    <t>ПРОГРАМ 7 - ОРГАНИЗАЦИЈА САОБРАЋАЈА И САОБРАЋАЈНА ИНФРАСТРУКТУРА</t>
  </si>
  <si>
    <t>Просторно и урбанистичко планирање</t>
  </si>
  <si>
    <t>1102</t>
  </si>
  <si>
    <t>ПРОГРАМ 2 - КОМУНАЛНЕ ДЕЛАТНОСТИ</t>
  </si>
  <si>
    <t>ПРОГРАМ 1 - УРБАНИЗАМ И ПРОСТОРНО ПЛАНИРАЊЕ</t>
  </si>
  <si>
    <t>1102-0001</t>
  </si>
  <si>
    <t>ПРОГРАМ 5 -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</si>
  <si>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</si>
  <si>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</si>
  <si>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</si>
  <si>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1102-0002</t>
  </si>
  <si>
    <t>Одржавање јавних зелених површина</t>
  </si>
  <si>
    <t>Јавни градски и приградски превоз путника</t>
  </si>
  <si>
    <t>1301-0004</t>
  </si>
  <si>
    <t>Функционисање локалних спортских установа</t>
  </si>
  <si>
    <t>Услуге по уговору - Поклони за истакнуте ученике и спортисте</t>
  </si>
  <si>
    <t>"ИНЂИЈА ПУТ" ИНЂИЈА</t>
  </si>
  <si>
    <t xml:space="preserve">Специјализоване услуге-Видео надзор </t>
  </si>
  <si>
    <t>Субвенције приватним предузећима</t>
  </si>
  <si>
    <t xml:space="preserve">Планирање, уређење и коришћење простора у локалној заједници </t>
  </si>
  <si>
    <t xml:space="preserve">Проценат покривености територије урбанистичком планском документацијом </t>
  </si>
  <si>
    <t xml:space="preserve">Повећање покривености територије планском и урбанистичком документацијом </t>
  </si>
  <si>
    <t xml:space="preserve">Адекватан квалитет пружених услуга уређења и одржавања јавних зелених површина </t>
  </si>
  <si>
    <t xml:space="preserve">Динамика уређења јавних зелених површина </t>
  </si>
  <si>
    <t xml:space="preserve">Повећање запослености на територији општине </t>
  </si>
  <si>
    <t xml:space="preserve">Број становника који су запослени на новим радним местима а налазили су се на евиденцији НСЗ </t>
  </si>
  <si>
    <t xml:space="preserve">Подстицаји општине за развој предузетништва </t>
  </si>
  <si>
    <t xml:space="preserve">Број новооснованих предузећа на територији општине уз учешће подстицаја локалне самоуправе у односу на укупан број новооснованих предузетничких радњи </t>
  </si>
  <si>
    <t xml:space="preserve">Повећање прихода од туризма </t>
  </si>
  <si>
    <t xml:space="preserve">Проценат повећања укупног броја гостију </t>
  </si>
  <si>
    <t xml:space="preserve">Повећање квалитета туристичке понуде и услуге </t>
  </si>
  <si>
    <t>Проценат реализације програма развоја туризма општине у односу на годишњи план</t>
  </si>
  <si>
    <t xml:space="preserve">Адекватна промоција туристичке понуде општине на циљаним тржиштима </t>
  </si>
  <si>
    <t xml:space="preserve">Број дистрибуираног промотивног материјала </t>
  </si>
  <si>
    <t xml:space="preserve">Програм 5.  Пољопривреда и рурални развој </t>
  </si>
  <si>
    <t xml:space="preserve">Раст производње и стабилност дохотка произвођача </t>
  </si>
  <si>
    <t xml:space="preserve">Стварање услова за развој и унапређење пољопривредне производње </t>
  </si>
  <si>
    <t xml:space="preserve">Број учесника едукација </t>
  </si>
  <si>
    <t xml:space="preserve">Број регистрованих пољопривредних газдинстава који су корисници мера руралног развоја у односу на укупан број пољопривредних газдинстава </t>
  </si>
  <si>
    <t xml:space="preserve">Проценат територије под заштитом III категорије </t>
  </si>
  <si>
    <t>0401-0004</t>
  </si>
  <si>
    <t xml:space="preserve">Адекватан квалитет пружених услуга одвођења отпадних вода </t>
  </si>
  <si>
    <t xml:space="preserve">Број интервенција на канализационој мрежи </t>
  </si>
  <si>
    <t xml:space="preserve">Спровођење редовних мерења на територији општине и испуњење обавеза у складу са законима </t>
  </si>
  <si>
    <t xml:space="preserve">Програм 7.  Организација саобраћаја и саобраћајна инфраструктура </t>
  </si>
  <si>
    <t xml:space="preserve">Повећање безбедности учесника у саобраћају и смањење броја саобраћајних незгода  </t>
  </si>
  <si>
    <t xml:space="preserve">Број повређених људи </t>
  </si>
  <si>
    <t xml:space="preserve">Опремање и одржавање саобраћајне сигнализације на путевима и улицама </t>
  </si>
  <si>
    <t xml:space="preserve">Дужина хоризонталне саобраћајне сигнализације ( у км) </t>
  </si>
  <si>
    <t>0701-0004</t>
  </si>
  <si>
    <t xml:space="preserve">Јавни градски и приградски превоз путника </t>
  </si>
  <si>
    <t xml:space="preserve">Адекватан квалитет пружених услуга јавног превоза </t>
  </si>
  <si>
    <t xml:space="preserve">Просечна старост возила јавног превоза </t>
  </si>
  <si>
    <t xml:space="preserve">Повећање обухвата деце предшколским васпитањем и образовањем </t>
  </si>
  <si>
    <t xml:space="preserve">Проценат уписане деце у односу на број укупно пријављење деце </t>
  </si>
  <si>
    <t xml:space="preserve">Унапређења квалитета предшколског образовања и васпитања </t>
  </si>
  <si>
    <t xml:space="preserve">Број објеката у којима су извршена инвестициона улагања на годишњем нивоу , у односу на укупан број објеката ПУ </t>
  </si>
  <si>
    <t xml:space="preserve">Програм 9.  Основно образовање и васпитање </t>
  </si>
  <si>
    <t xml:space="preserve">Обухават деце основним образовањем ( разложено према полу) </t>
  </si>
  <si>
    <t xml:space="preserve">Унапређење квалитета образовања и васпитања у основним школама </t>
  </si>
  <si>
    <t xml:space="preserve">Број учесника који похађају вананаставне активности у односу на укупан број учесника </t>
  </si>
  <si>
    <t xml:space="preserve">Програм 10. Средње образовање и васпитање </t>
  </si>
  <si>
    <t xml:space="preserve">Повећање обухвата средњешколског образовања </t>
  </si>
  <si>
    <t xml:space="preserve">Број деце која су обухваћена средњим образоваењем ( разложено по полу) </t>
  </si>
  <si>
    <t xml:space="preserve">Унапређење квалитета образовања у средњим школама </t>
  </si>
  <si>
    <t xml:space="preserve">Број талентоване деце подржане од стране општине у односу на укупан број деце у школама </t>
  </si>
  <si>
    <t xml:space="preserve">Повећање доступности и права социјалне заштите </t>
  </si>
  <si>
    <t xml:space="preserve">Проценат корисника локалних социјалних услуга у односу на укупан број корисника социјалне и дечје заштите </t>
  </si>
  <si>
    <t xml:space="preserve">Број корисника једнократне новчане помоћи у односу на укупан број грађана </t>
  </si>
  <si>
    <t xml:space="preserve">Социјално деловање - олакшавање људске патње пружањем неопходне ургентне помоћи лицима у невољи , развијањем солидарности међу људима , организовањем различитих облика помоћи </t>
  </si>
  <si>
    <t xml:space="preserve">Број волонтера Црвеног крста </t>
  </si>
  <si>
    <t xml:space="preserve">Унапређење услуга социјалне заштите за децу и породицу </t>
  </si>
  <si>
    <t xml:space="preserve">Број корисника услуга </t>
  </si>
  <si>
    <t>Програм 12.  Здравствена заштита</t>
  </si>
  <si>
    <t xml:space="preserve">Унапређење здравља становништва </t>
  </si>
  <si>
    <t xml:space="preserve">Покривеност становништва примарном здравственом заштитом </t>
  </si>
  <si>
    <t xml:space="preserve">Унапређење доступности , квалитета и ефикасности ПЗЗ </t>
  </si>
  <si>
    <t xml:space="preserve">Број обраћања саветнику за заштите права пацијената </t>
  </si>
  <si>
    <t xml:space="preserve">Програм 13.  Развој културе и информисања </t>
  </si>
  <si>
    <t xml:space="preserve">Подстицање развоја културе </t>
  </si>
  <si>
    <t xml:space="preserve">Укупан број посетилаца на свим културним догађајима који су одржани </t>
  </si>
  <si>
    <t xml:space="preserve">Обезбеђење редовног функционисања установа културе </t>
  </si>
  <si>
    <t xml:space="preserve">Број запослених у установама културе у односу на укупан број запсолених у ЈЛС </t>
  </si>
  <si>
    <t xml:space="preserve">Унапређење разноврсности културне понуде </t>
  </si>
  <si>
    <t xml:space="preserve">Број програма и пројеката удружења грађана подржаних од стране општине </t>
  </si>
  <si>
    <t xml:space="preserve">Повећана понуда квалитетних медијских садржаја из области друштвеног живота локалне заједнице </t>
  </si>
  <si>
    <t xml:space="preserve">Број различитих тематских типова програма за боље информисање </t>
  </si>
  <si>
    <t xml:space="preserve">Обезбеђење услова за бављење спортом свих грађана и грађанки општине </t>
  </si>
  <si>
    <t xml:space="preserve">Број чланова спортских организација и удружења </t>
  </si>
  <si>
    <t xml:space="preserve">Унапређење рекреативног спорта </t>
  </si>
  <si>
    <t xml:space="preserve">Број програма омасовљења женског спорта </t>
  </si>
  <si>
    <t xml:space="preserve">Обезбеђивање услова за рад установа из области спорта </t>
  </si>
  <si>
    <t xml:space="preserve">Степен искоришћености капацитета установа </t>
  </si>
  <si>
    <t xml:space="preserve">Програм 15. Опште услуге локалне самоуправе </t>
  </si>
  <si>
    <t xml:space="preserve">Суфицит или дефицит локалног буџета </t>
  </si>
  <si>
    <t xml:space="preserve">Функционисање управе </t>
  </si>
  <si>
    <t xml:space="preserve">Број решених предмета по запосленом </t>
  </si>
  <si>
    <t xml:space="preserve">Број иницијатива/ предлога месних заједница према општини у вези са питањима од интереса за локално становништво </t>
  </si>
  <si>
    <t xml:space="preserve">Заштита имовинских права и интереса општине </t>
  </si>
  <si>
    <t xml:space="preserve">Број решених предмета у односу на укупан број предмета на годишњем нивоу </t>
  </si>
  <si>
    <t xml:space="preserve">Програм 16. Политички систем локалне самоуправе </t>
  </si>
  <si>
    <t xml:space="preserve">Ефикасно и ефективно функционисање органа политичког система локалне самоуправе </t>
  </si>
  <si>
    <t xml:space="preserve">Функционисање локалне скупштине </t>
  </si>
  <si>
    <t xml:space="preserve">Број усвојених аката </t>
  </si>
  <si>
    <t xml:space="preserve">Функционисање извршних органа </t>
  </si>
  <si>
    <t>0501</t>
  </si>
  <si>
    <t>УРБАНИЗАМ И ПРОСТОРНО ПЛАНИРАЊЕ</t>
  </si>
  <si>
    <t>КОМУНАЛНЕ ДЕЛАТНОСТИ</t>
  </si>
  <si>
    <t>ПОЉОПРИВРЕДА И РУРАЛНИ РАЗВОЈ</t>
  </si>
  <si>
    <t>ОРГАНИЗАЦИЈА САОБРАЋАЈА И САОБРАЋАЈНА ИНФРАСТРУКТУРА</t>
  </si>
  <si>
    <t>ПРЕДШКОЛСКО ВАСПИТАЊЕ И ОБРАЗОВАЊЕ</t>
  </si>
  <si>
    <t>ОСНОВНО ОБРАЗОВАЊЕ И ВАСПИТАЊЕ</t>
  </si>
  <si>
    <t>СРЕДЊЕ ОБРАЗОВАЊЕ И ВАСПИТАЊЕ</t>
  </si>
  <si>
    <t>ЗДРАВСТВЕНА ЗАШТИТА</t>
  </si>
  <si>
    <t>РАЗВОЈ КУЛТУРЕ И ИНФОРМИСАЊА</t>
  </si>
  <si>
    <t>ОПШТЕ УСЛУГЕ ЛОКАЛНЕ САМОУПРАВЕ</t>
  </si>
  <si>
    <t>ПОЛИТИЧКИ СИСТЕМ ЛОКАЛНЕ САМОУПРАВЕ</t>
  </si>
  <si>
    <t>ЕНЕРГЕТСКА ЕФИКАСНОСТ И ОБНОВЉИВИ ИЗВОРИ ЕНЕРГИЈЕ</t>
  </si>
  <si>
    <t>512</t>
  </si>
  <si>
    <t>Дотације невладиним организацијама - превоз спортиста</t>
  </si>
  <si>
    <t>Управљање отпадним водама</t>
  </si>
  <si>
    <t>16</t>
  </si>
  <si>
    <t>Родитељски динар за ваннаставне активности</t>
  </si>
  <si>
    <t>Накнаде за социјалну заштиту из буџета -Финансирање вантелесне оплодње</t>
  </si>
  <si>
    <t>ПРОГРАМ 13 - РАЗВОЈ КУЛТУРЕ И ИНФОРМИСАЊА</t>
  </si>
  <si>
    <t xml:space="preserve">Коришћење пољопривредних површина у односу на укупне пољопривредне површине </t>
  </si>
  <si>
    <t xml:space="preserve">Унапређење заштите природе </t>
  </si>
  <si>
    <t xml:space="preserve">Број спроведених мерења количина комуналног отпада у складу са Законом о управљању отпадом </t>
  </si>
  <si>
    <t>Одрживо управно и финансијско функционисање општине у складу са надлежностима и пословима локалне самоуправе</t>
  </si>
  <si>
    <t xml:space="preserve">Обезбеђено задовољавање потреба и интереса локалног становништва деловањем месних заједница </t>
  </si>
  <si>
    <t>Обезбеђење услуге смештаја</t>
  </si>
  <si>
    <t>Јачање културне продукције и уметничког стваралаштва</t>
  </si>
  <si>
    <t>Зграде и грађевински објекти</t>
  </si>
  <si>
    <t>Унапређење административних процедура и развој адекватних сервиса и услуга за пружање подршке постојећој привреди</t>
  </si>
  <si>
    <t>Број унапређених процедура ради лакшег пословања привреде на локалном нивоу</t>
  </si>
  <si>
    <t>УКУПНО  ПРОГРАМСКА АКТИВНОСТ 0701-0004</t>
  </si>
  <si>
    <t>421</t>
  </si>
  <si>
    <t>06</t>
  </si>
  <si>
    <t>Донације од међународних организација</t>
  </si>
  <si>
    <t>УКУПНО  ПРОГРАМСКА АКТИВНОСТ 0602-0009</t>
  </si>
  <si>
    <t>УКУПНО  ПРОГРАМСКА АКТИВНОСТ 0602-0010</t>
  </si>
  <si>
    <t>УКУПНО  ПРОГРАМСКА АКТИВНОСТ 0901-0005</t>
  </si>
  <si>
    <t>Дотације невладиним организацијама - Верске заједнице</t>
  </si>
  <si>
    <t>УКУПНО  ПРОГРАМСКА АКТИВНОСТ 1501-0001</t>
  </si>
  <si>
    <t>УКУПНО  ПРОГРАМСКА АКТИВНОСТ 1201-0004</t>
  </si>
  <si>
    <t>УКУПНО  ПРОГРАМСКА АКТИВНОСТ 1201-0003</t>
  </si>
  <si>
    <t>Услуге по уговору - Информисање</t>
  </si>
  <si>
    <t>УКУПНО  ПРОГРАМСКА АКТИВНОСТ 1301-0001</t>
  </si>
  <si>
    <t>УКУПНО  ПРОГРАМСКА АКТИВНОСТ 0602-0001</t>
  </si>
  <si>
    <t>УКУПНО  ПРОГРАМСКА АКТИВНОСТ 0602-0002</t>
  </si>
  <si>
    <t>УКУПНО  ПРОГРАМСКА АКТИВНОСТ 2003-0001</t>
  </si>
  <si>
    <t>УКУПНО  ПРОГРАМСКА АКТИВНОСТ 2002-0001</t>
  </si>
  <si>
    <t>УКУПНО  ПРОГРАМСКА АКТИВНОСТ 2001-0001</t>
  </si>
  <si>
    <t>УКУПНО ПРОГРАМСКА АКТИВНОСТ 1501-0001</t>
  </si>
  <si>
    <t>УКУПНО  ПРОГРАМСКА АКТИВНОСТ 0901-0001</t>
  </si>
  <si>
    <t>УКУПНО  ПРОГРАМСКА АКТИВНОСТ 0901-0006</t>
  </si>
  <si>
    <t>УКУПНО  ПРОГРАМСКА АКТИВНОСТ 0901-0002</t>
  </si>
  <si>
    <t>УКУПНО  ПРОГРАМСКА АКТИВНОСТ 1801-0001</t>
  </si>
  <si>
    <t>УКУПНО  ПРОГРАМСКА АКТИВНОСТ 0701-0002</t>
  </si>
  <si>
    <t>УКУПНО  ПРОГРАМСКА АКТИВНОСТ 0101-0001</t>
  </si>
  <si>
    <t>УКУПНО  ПРОГРАМСКА АКТИВНОСТ 0101-0002</t>
  </si>
  <si>
    <t>УКУПНО  ПРОГРАМСКА АКТИВНОСТ 0401-0005</t>
  </si>
  <si>
    <t>ОПИС</t>
  </si>
  <si>
    <t>УКУПНО  ПРОГРАМСКА АКТИВНОСТ 1501-0003</t>
  </si>
  <si>
    <t>УКУПНО  ПРОГРАМСКА АКТИВНОСТ 2101-0002</t>
  </si>
  <si>
    <t>УКУПНО  ПРОГРАМСКА АКТИВНОСТ 2101-0001</t>
  </si>
  <si>
    <t>УКУПНО  ПРОГРАМСКА АКТИВНОСТ 0602-0004</t>
  </si>
  <si>
    <t>УКУПНО ЗА ПРОЈЕКАТ 2 "ИЗРАДА СПОМЕН ОБЕЛЕЖЈА"</t>
  </si>
  <si>
    <t>УКУПНО  ПРОГРАМСКА АКТИВНОСТ 1301-0004</t>
  </si>
  <si>
    <t>УКУПНО  ПРОГРАМСКА АКТИВНОСТ 1102-0001</t>
  </si>
  <si>
    <t>УКУПНО  ПРОГРАМСКА АКТИВНОСТ 0401-0004</t>
  </si>
  <si>
    <t>УКУПНО  ПРОГРАМСКА АКТИВНОСТ 1101-0001</t>
  </si>
  <si>
    <t>УКУПНО  ПРОГРАМСКА АКТИВНОСТ 1102-0002</t>
  </si>
  <si>
    <t>Приходи од продаје добара и услуга од стране тржишних организација у корист нивоа Републике</t>
  </si>
  <si>
    <t>Накнада штете за повреде или штету нанету од стране државних органа</t>
  </si>
  <si>
    <t xml:space="preserve">ПРОГРАМ 17 - ЕНЕРГЕТСКА ЕФИКАСНОСТ И ОБНОВЉИВИ ИЗВОРИ ЕНЕРГИЈЕ </t>
  </si>
  <si>
    <t>482</t>
  </si>
  <si>
    <t>Порези, обавезне таксе, казне, пенали и камате</t>
  </si>
  <si>
    <t xml:space="preserve">Програм 17. Енергетска ефикасност и обновљиви извори енергије </t>
  </si>
  <si>
    <t>Једнократне помоћи и други облици помоћи</t>
  </si>
  <si>
    <t>УЛИЧНА РАСВЕТА</t>
  </si>
  <si>
    <t>ПРОГРАМ 8 - ПРЕДШКОЛСКО ВАСПИТАЊЕ И ОБРАЗОВАЊЕ</t>
  </si>
  <si>
    <t>Подршка деци и породици са децом</t>
  </si>
  <si>
    <t>Породични и домски смештај, прихватилишта и друге врсте смештаја</t>
  </si>
  <si>
    <t>Управљање и одржавање саобраћајне инфраструктуре</t>
  </si>
  <si>
    <t>Подршка економском развоју и промоцији предузетништва</t>
  </si>
  <si>
    <t>0401-0003</t>
  </si>
  <si>
    <t>Заштита природе</t>
  </si>
  <si>
    <t xml:space="preserve">Нематеријална имовина </t>
  </si>
  <si>
    <t>08</t>
  </si>
  <si>
    <t xml:space="preserve">Добровољни трансфери од физичких и правних лица </t>
  </si>
  <si>
    <t>Накнаде за социјалну заштиту из буџета --Центар за социјални рад "Дунав"</t>
  </si>
  <si>
    <t>Специјализоване услуге - Дан ослобођења Инђије</t>
  </si>
  <si>
    <t>Специјализоване услуге - Дан ослобођења у Првом светском рату</t>
  </si>
  <si>
    <t>Специјализоване услуге - Остале манифестације од значаја за Општину Инђија</t>
  </si>
  <si>
    <t>Накнаде за социјалну заштиту из буџета - Треће дете</t>
  </si>
  <si>
    <t>Зграде и грађевински објекти  - пројектна документација</t>
  </si>
  <si>
    <t>Зграде и грађевински објекти - прва фаза</t>
  </si>
  <si>
    <t>441</t>
  </si>
  <si>
    <t>444</t>
  </si>
  <si>
    <t>Специјализоване услуге - Градска слава Општине Инђија - Духови</t>
  </si>
  <si>
    <t xml:space="preserve">Накнаде  из буџета за становање и живот </t>
  </si>
  <si>
    <t>Специјализоване услуге -Фактурисање</t>
  </si>
  <si>
    <t>Специјализоване услуге - Фактурисање</t>
  </si>
  <si>
    <t>Специјализоване услуге -  Фактурисање</t>
  </si>
  <si>
    <t>Дотације организацијама обавезног социјалног осигурања - Здравство</t>
  </si>
  <si>
    <t>Субвенције јавним нефинансијским предузећима и организацијама</t>
  </si>
  <si>
    <t>Приходи од продаје добара и услуга или закупа од стране тржишних организација у корист нивоа општина</t>
  </si>
  <si>
    <t xml:space="preserve">Средства из буџета </t>
  </si>
  <si>
    <t>Унапређење заштите природних вредности</t>
  </si>
  <si>
    <t>УКУПНО  ПРОГРАМСКА АКТИВНОСТ 0401-0003</t>
  </si>
  <si>
    <t>Унапређење руралног развоја</t>
  </si>
  <si>
    <t>Функционисање и остваривање предшколског васпитања и образовања</t>
  </si>
  <si>
    <t>функционисање средњих школа</t>
  </si>
  <si>
    <t>Просечан број дана по кориснику услуге</t>
  </si>
  <si>
    <t xml:space="preserve">Унапређење презентације  културног  наслеђа  </t>
  </si>
  <si>
    <t>Број реализованих програма који промовишу локално културно историјског наслеђа у односу на број планираних програма</t>
  </si>
  <si>
    <t xml:space="preserve">ПРЕДСЕДНИК ОПШТИНЕ </t>
  </si>
  <si>
    <t>ОПШТИНСКО ВЕЋЕ</t>
  </si>
  <si>
    <t>Спортске стипендије</t>
  </si>
  <si>
    <t>ПРАВОБРАНИЛАШТВО ОПШТИНЕ ИНЂИЈА</t>
  </si>
  <si>
    <t>10</t>
  </si>
  <si>
    <t>Примања од домаћих задуживања</t>
  </si>
  <si>
    <t>Примања од задуживања од пословних банака у земљи у корист нивоа општина</t>
  </si>
  <si>
    <t>ПРИМАЊА ОД ЗАДУЖИВАЊА ОД ПОСЛОВНИХ БАНАКА У ЗЕМЉИ</t>
  </si>
  <si>
    <t>V. ИЗДАЦИ ПО ОСНОВУ ДАТИХ ПОЗАЈМИЦА И НАБАВКЕ ФИНАСИЈСКЕ ИМОВИНЕ</t>
  </si>
  <si>
    <t>Специјализоване услуге - Буџетски фонд за заштиту животне средине (дератизација, запрашивање комараца, заштита од амброзије и друго)</t>
  </si>
  <si>
    <t>Специјализоване услуге - Игре без граница</t>
  </si>
  <si>
    <t>Примања од продаје непокретности у корист нивоа општина</t>
  </si>
  <si>
    <t>ПРИМАЊА ОД ПРОДАЈЕ НЕПОКРЕТНОСТИ</t>
  </si>
  <si>
    <t>Услуге по уговору - Торбе за ђаке прваке</t>
  </si>
  <si>
    <t xml:space="preserve">Услуге по уговору - Израда софтвера, програмска презентација Општине Инђија </t>
  </si>
  <si>
    <t>1102-0004</t>
  </si>
  <si>
    <t>Зоохигијена</t>
  </si>
  <si>
    <t>УКУПНО  ПРОГРАМСКА АКТИВНОСТ 1102-0004</t>
  </si>
  <si>
    <t xml:space="preserve">Повећање покривености територије комуналним делатностима одржавања јавних зелених површина, одржавање чистоће на јавним површинама јавне намене и зоохигијене </t>
  </si>
  <si>
    <t>Број м2 територије покривен услугом зоохигијене у односу на укупан број м2 територије</t>
  </si>
  <si>
    <t>0602-0003</t>
  </si>
  <si>
    <t>Сервисирање јавног дуга</t>
  </si>
  <si>
    <t>УКУПНО  ПРОГРАМСКА АКТИВНОСТ 0602-0003</t>
  </si>
  <si>
    <t>ПРИМАЊА ОД ПРОДАЈЕ ПОКРЕТНИХ СТВАРИ</t>
  </si>
  <si>
    <t>Примања од продаје покретних ствари у корист нивоа општина</t>
  </si>
  <si>
    <t>Додатни приходи и приходи
 индиректних корисника</t>
  </si>
  <si>
    <t>Извори</t>
  </si>
  <si>
    <t>9</t>
  </si>
  <si>
    <t>V</t>
  </si>
  <si>
    <t>УКУПНО за главу 4</t>
  </si>
  <si>
    <t>УКУПНО за главу 5</t>
  </si>
  <si>
    <t>*</t>
  </si>
  <si>
    <t>0501-0001</t>
  </si>
  <si>
    <t>Унапређење и побољшање енергетске ефикасности и употреба обновљивих извора енергије</t>
  </si>
  <si>
    <t>УКУПНО  ПРОГРАМСКА АКТИВНОСТ 0501-0001</t>
  </si>
  <si>
    <t>УКУПНО ЗА ПРОЈЕКАТ</t>
  </si>
  <si>
    <t>Накнаде за социјалну заштиту из буџета - додатна образовна, здравствена и социјална подршка</t>
  </si>
  <si>
    <t>Специјализоване услуге - Летњи музички фестивал</t>
  </si>
  <si>
    <t>ПРОЈЕКАТ  - ПОДРШКА ДЕЦИ И ПОРОДИЦАМА СА ДЕЦОМ ОШТЕЋЕНОМ У РАЗВОЈУ - ИНО ПРОЈЕКАТ</t>
  </si>
  <si>
    <t>ПРОЈЕКАТ  - ПОДРШКА ДЕЦИ И ПОРОДИЦАМА СА ДЕЦОМ ОШТЕЋЕНОМ У РАЗВОЈУ</t>
  </si>
  <si>
    <t>УКУПНО РАСХОДИ</t>
  </si>
  <si>
    <t xml:space="preserve">УКУПНО ЗА ПРОЈЕКАТ </t>
  </si>
  <si>
    <t>УКУПНО ЗА ГЛАВУ 2</t>
  </si>
  <si>
    <t>ПРОЈЕКАТ  - Израда техничке документације и извођење радова на изградњи саобраћајнице са пратећом инфраструктуром и јавном расветом у Улици Нова 2 Инђија - прва фаза</t>
  </si>
  <si>
    <t>Комунална такса за приређивање музичког програма у угоститељским објектима</t>
  </si>
  <si>
    <t>Накнаде за коришћење природних добара</t>
  </si>
  <si>
    <t>ПРОЈЕКАТ Учешће у изградњи средњенапонског далековода од Новог Сланкамена до Сурдука</t>
  </si>
  <si>
    <t>ПРОЈЕКАТ  - Дунавско село "Риверленд"</t>
  </si>
  <si>
    <t>463</t>
  </si>
  <si>
    <t>464</t>
  </si>
  <si>
    <t>515</t>
  </si>
  <si>
    <t>499</t>
  </si>
  <si>
    <t>Дотације невладиним организацијама - инвестиције</t>
  </si>
  <si>
    <t>ПРОЈЕКАТ Израда пројектне документације за уређење парка Проте Радослава Марковића</t>
  </si>
  <si>
    <t>ПРОЈЕКАТ Израда пројектне документације за уређење парка са леве стране Новосадске улице у смеру ка Новом Саду</t>
  </si>
  <si>
    <t>ПРОЈЕКАТ Израда пројектне документације за уређење парка са десне стране Новосадске улице у смеру ка Новом Саду</t>
  </si>
  <si>
    <t>ПРОЈЕКАТ Израда пројектне документације за уређење парка код железничке станице</t>
  </si>
  <si>
    <t>ПРОЈЕКАТ Извођење радова на реконструкцији уређења паркова по пројектној документацији</t>
  </si>
  <si>
    <t>Стамбена подршка</t>
  </si>
  <si>
    <t>1101-0004</t>
  </si>
  <si>
    <t>УКУПНО за главу 3</t>
  </si>
  <si>
    <t>Рекреација, култура и вере некласификоване на другом месту</t>
  </si>
  <si>
    <t>УКУПНО за главу 1</t>
  </si>
  <si>
    <t>Члан 2.</t>
  </si>
  <si>
    <t>1301-0005</t>
  </si>
  <si>
    <t>Спровођење омладинске политике</t>
  </si>
  <si>
    <t>УКУПНО  ПРОГРАМСКА АКТИВНОСТ 1301-0005</t>
  </si>
  <si>
    <t>1801-0003</t>
  </si>
  <si>
    <t>УКУПНО  ПРОГРАМСКА АКТИВНОСТ 1803-0003</t>
  </si>
  <si>
    <t>ПРОЈЕКАТ - Израда пројектне документације за изградњу јавне расвете у индустријској зони  Бешка</t>
  </si>
  <si>
    <t>ПРОЈЕКАТ - Санација јавног осветљења у насељеном месту Јарковци у општини Инђија</t>
  </si>
  <si>
    <t>ПРОЈЕКАТ "Елаборат енергетске ефикасности зграде Центра за социјални рад "Дунав" у Инђији</t>
  </si>
  <si>
    <t>ПРОЈЕКАТ 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t>
  </si>
  <si>
    <t xml:space="preserve">УКУПНО  ПРОЈЕКАТ </t>
  </si>
  <si>
    <t>ПРОЈЕКАТ  - Санација отвореног школског терена у ОШ "Бранко Радичевић" у Марадику</t>
  </si>
  <si>
    <t>ПРОЈЕКАТ - Изградња спортске сале у Инђији - IV фаза</t>
  </si>
  <si>
    <t>ПРОЈЕКАТ - Израда пројекта и изградња на спортским теренима у Лејама - прва фаза</t>
  </si>
  <si>
    <t xml:space="preserve">ПРОЈЕКАТ - Уређење градског  базена </t>
  </si>
  <si>
    <t>ПРОЈЕКАТ - Израда пројектне документације реконструкције стадиона Хајдук у Бешки</t>
  </si>
  <si>
    <t>ПРОЈЕКАТ  - Изградња спортске хале у Бешки прва фаза</t>
  </si>
  <si>
    <t>ПРОЈЕКАТ  - Израда плана детаљне регулације дела блока 9 у насељу Бешка намењеном за спортско рекреативне садржаје и изградњу спортске сале</t>
  </si>
  <si>
    <t xml:space="preserve">ПРОЈЕКАТ  - Израда пројектне документације и реконструкција амбуланте у Бешки </t>
  </si>
  <si>
    <t xml:space="preserve">УКУПНО ЗА ПРОЈЕКАТ  </t>
  </si>
  <si>
    <t>ПРОЈЕКАТ  - ФИНАНСИРАЊЕ УСЛУГА СОЦИЈАЛНЕ ЗАШТИТЕ НА ТЕРИТОРИЈИ ОПШТИНЕ ИНЂИЈА</t>
  </si>
  <si>
    <t>ПРОЈЕКАТ  - БЕСПЛАТНЕ УЖИНЕ</t>
  </si>
  <si>
    <t>ПРОЈЕКАТ  -  Реконструкција објекта ОШ Душан Јерковић (дворац Пеачевић)</t>
  </si>
  <si>
    <t>ПРОЈЕКАТ  - Израда пројектне документације за доградњу вртића у Новом Сланкамену</t>
  </si>
  <si>
    <t>ПРОЈЕКАТ  - Школица живота - заједно за детињство - Вртић Љуково</t>
  </si>
  <si>
    <t>ПРОЈЕКАТ  - Израда пројектне документације и  изградња новог објекта за предшколску установу - прва фаза</t>
  </si>
  <si>
    <t>ПРОЈЕКАТ  - Изградња ВН кабла у радној зони  Локација 15 у коридору саобраћајнице С3 у дужини од 1300 м  (до раскрснице   С2 и С3   ) у Инђији са хидротехничком инфраструктуром - Пројекат водоводне мреже  (II фаза - С2)</t>
  </si>
  <si>
    <t>ПРОЈЕКАТ  - Набавка вибро плоча са алатом</t>
  </si>
  <si>
    <t>ПРОЈЕКАТ  - Теренска и лабораторијска испитивања код изградње и асфалтирања путева</t>
  </si>
  <si>
    <t>ПРОЈЕКАТ  - Појачано одржавање коловоза ДП другог реда рег. пут број Р-109 од км 10+662,15 до км 10+861,64 са кружном раскрсницом у Инђији (Обилићев венац)</t>
  </si>
  <si>
    <t>ПРОЈЕКАТ  - Изградња саобраћајног прикључка  Улице Нове 3 на државни пут другог реда бр. 100 у Инђији</t>
  </si>
  <si>
    <t>ПРОЈЕКАТ  - Изградња саобраћајнице у Улици Нова 3 -  Блок 44 у Инђији</t>
  </si>
  <si>
    <t>ПРОЈЕКАТ  - Изградња паркинга у Блоку 44 у Инђији - Ламела</t>
  </si>
  <si>
    <t>ПРОЈЕКАТ - Израда пројектне документације за изградњу паркинга у Блоку 44 у Инђији - Ламела</t>
  </si>
  <si>
    <t>ПРОЈЕКАТ  - Изградња паркинга у улици Краља Петра</t>
  </si>
  <si>
    <t>ПРОЈЕКАТ - Израда пројектне документације за изградњу паркинга у улици Краља Петра</t>
  </si>
  <si>
    <t>ПРОЈЕКАТ  - Израда пројектне документације и изградња пешачке стазе  у улици 1. Новембра до Н. Тесле у Љукову</t>
  </si>
  <si>
    <t>ПРОЈЕКАТ - Израда пројектне документације и изградња пешачке стазе у целој дужини у улици Н. Тесле у Љукову</t>
  </si>
  <si>
    <t>ПРОЈЕКАТ- Стручни надзор над изградњом сервисне саобраћајнице у североисточној радној зони деоница од "Монуса" до "Гумапласта"</t>
  </si>
  <si>
    <t>ПРОЈЕКАТ  - Набавка опреме за посебна паркиралишта</t>
  </si>
  <si>
    <t>Члан 6.</t>
  </si>
  <si>
    <t>СКУПШТИНА ОПШТИНЕ ИНЂИЈА</t>
  </si>
  <si>
    <t xml:space="preserve">Председник  </t>
  </si>
  <si>
    <t>Милан Предојевић</t>
  </si>
  <si>
    <t>И Н Ђ И Ј А</t>
  </si>
  <si>
    <t>УКУПНО ПО ИЗВОРИМА</t>
  </si>
  <si>
    <t>План 
01.01 - 31.12.2019.</t>
  </si>
  <si>
    <t>Планско управљање стамбеном подрком</t>
  </si>
  <si>
    <t>Број корисника стамбене подршке</t>
  </si>
  <si>
    <t>Пружање комуналних услуга од значаја за остварење животних потреба физичких и правних лица</t>
  </si>
  <si>
    <t>Адекватно управбљање јавним осветљењем</t>
  </si>
  <si>
    <t>укупан број интервенција по поднетим иницијативама грађана за замену светиљки кад престану да раде</t>
  </si>
  <si>
    <t>121</t>
  </si>
  <si>
    <t>ПРОЈЕКАТ - Учешће у изградњи средњенапонског далековода од Н. Сланкамена до Сурдука</t>
  </si>
  <si>
    <t>ПРОЈЕКАТ - Израда пројектне документације за осветљење пешачких прелаза у зони школа</t>
  </si>
  <si>
    <t>ПРОЈЕКАТ - Изградња јавне расвете дуж саобраћајнице С2 и С3 (део) - Локација 15</t>
  </si>
  <si>
    <t>ПРОЈЕКАТ - Израда пројектне документације за изградњу јавне расвете у индустријској зони  Инђија - Локација 15</t>
  </si>
  <si>
    <t xml:space="preserve">ПРОЈЕКАТ  - ИЗГРАДЊА ДОМА КУЛТУРЕ У КРЧЕДИНУ </t>
  </si>
  <si>
    <t xml:space="preserve">ПРОЈЕКАТ  - ОПРЕМАЊЕ ДОМА КУЛТУРЕ У МАРАДИКУ </t>
  </si>
  <si>
    <t>ПРОЈЕКАТ - Израда техничке документације за реконструкцију Ловачког дома у Љукову</t>
  </si>
  <si>
    <t>ПРОЈЕКАТ - Израда техничке документације за гасификацију објекта Дома културе у Новим Карловцима</t>
  </si>
  <si>
    <t>ПРОЈЕКАТ - Текуће одржавње фасаде и просторија амбуланте у Новим Карловцима</t>
  </si>
  <si>
    <t>ПРОЈЕКАТ -  Санација  крова на објекту Дома културе у Новим Карловцима</t>
  </si>
  <si>
    <t>ПРОЈЕКАТ - Л А П - за унапређење образовања, запошљавања, здравља и становања Рома у општини Инђија 2016-2020. година</t>
  </si>
  <si>
    <t>ПРОЈЕКАТ  - Израда пројекта и изградња трим стазе са јавним осветљењем у Лејама</t>
  </si>
  <si>
    <t>ПРОЈЕКАТ - Израда пројектне документације и изградња тротоара око спортске хале у Инђији</t>
  </si>
  <si>
    <t>ПРОЈЕКАТ - Припрема, допуна документације и исходовање документације за завршетак радова на спортској хали у Инђији до добијања употребне дозволе и извођење радова</t>
  </si>
  <si>
    <t>ПРОЈЕКАТ  - Услуге закупа клизалишта</t>
  </si>
  <si>
    <t xml:space="preserve">УКУПНО ПРОЈЕКАТ </t>
  </si>
  <si>
    <t xml:space="preserve">ПРОЈЕКАТ - Општинске културне манифестације </t>
  </si>
  <si>
    <t>ПРОЈЕКАТ - ИЗРАДА СПОМЕН ОБЕЛЕЖЈА 2</t>
  </si>
  <si>
    <t>ПРОЈЕКАТ - ИЗРАДА СПОМЕН ОБЕЛЕЖЈА</t>
  </si>
  <si>
    <t>ПРОЈЕКАТ - СУФИНАНСИРАЊЕ ТЕКУЋИХ РАСХОДА И ИЗДАТАКА  ДРУГИХ СУБЈЕКАТА У КУЛТУРИ</t>
  </si>
  <si>
    <t>ПРОЈЕКАТ - Набавка возила за Дом здравља</t>
  </si>
  <si>
    <t>ПРОЈЕКАТ  - ФИНАНСИРАЊЕ ВАНТЕЛЕСНЕ ОПЛОДЊЕ</t>
  </si>
  <si>
    <t>ПРОЈЕКАТ  - Домски смештај ученика и студената</t>
  </si>
  <si>
    <t>ПРОЈЕКАТ  - ТШ Михајло Пупин Инђија - Инвестиционо одржавање фискултурне сале</t>
  </si>
  <si>
    <t>ПРОЈЕКАТ  - Доградња вртића на објекту Невен у Инђији</t>
  </si>
  <si>
    <t>ПРОЈЕКАТ  - ЈАВНИ РЕД И БЕЗБЕДНОСТ</t>
  </si>
  <si>
    <t>ПРОЈЕКАТ - Пројектовање и изградња јавне расвете на локацији Чарнок у Старом Сланкамену</t>
  </si>
  <si>
    <t>ПРОЈЕКАТ - Израда техничке документације и извођење радова на изградњи продужетака јавне расвете у улици Сремска кратка у Инђији</t>
  </si>
  <si>
    <t>ПРОЈЕКАТ - Израда техничке документације и извођење радова на изградњи јавног осветљења на месном стадиону у Крчедину</t>
  </si>
  <si>
    <t>ПРОЈЕКАТ - Изградња НН мреже Новосадска улица у Инђији</t>
  </si>
  <si>
    <t>ПРОЈЕКАТ - Изградња прикључног вода 20KV Новосадска 100 м у Инђији</t>
  </si>
  <si>
    <t>ПРОЈЕКАТ -  Изградња СТС Новосадска у Инђији</t>
  </si>
  <si>
    <t>ПРОЈЕКАТ -  Изградња НН мреже Каменова улица у Инђији</t>
  </si>
  <si>
    <t>ПРОЈЕКАТ - Изградња прикључног вода 20КV Каменова улица 500 м у Инђији</t>
  </si>
  <si>
    <t xml:space="preserve">ПРОЈЕКАТ - Изградња СТС Каменова  у Инђији </t>
  </si>
  <si>
    <t xml:space="preserve">ПРОЈЕКАТ-  Реконструкција СТС Дунавска у Бешки </t>
  </si>
  <si>
    <t>ПРОЈЕКАТ -  Измештање постојеће КТЦ "Дом културе у центру Бешка"</t>
  </si>
  <si>
    <t>ПРОЈЕКАТ -  Реконструкција /замена постојеће СТС "Крчевина"</t>
  </si>
  <si>
    <t>ПРОЈЕКАТ - Израда пројектне документације за реконструкцију раскрснице улица Лукачева (ДП другог реда), Главне и Челенске у насељу Нови Карловци</t>
  </si>
  <si>
    <t xml:space="preserve">ПРОЈЕКАТ - Израда пројектне документације за изградњу пешачких семафора на државном путу II А-100 кроз насељено место Инђија </t>
  </si>
  <si>
    <t>ПРОЈЕКАТ - Израда техничке документације за изградњу пешачке стазе од улице Каменова до Монуса са леве стране до А 126</t>
  </si>
  <si>
    <t>ПРОЈЕКАТ - Изградња саобраћајнице С1 и С2 (II фаза) у радној зони бр. 15 у Инђији са хидротехничком инфраструктуром - Пројекат водоводне мреже  (II фаза - С2)</t>
  </si>
  <si>
    <t>ПРОЈЕКАТ -  Стручни надзор над изградњом саобраћајнице С2  и фекалне канализације дуж саобраћајнице С3</t>
  </si>
  <si>
    <t xml:space="preserve">ПРОЈЕКАТ  -  Изградња саобраћајнице С2 и фекалне канализације дуж саобраћајнице С3 </t>
  </si>
  <si>
    <t>ПРОЈЕКАТ - Реконструкција пута на деоници Банстол - Хотел Норцев</t>
  </si>
  <si>
    <t>ПРОЈЕКАТ - Изградња пута Нови Карловци -Крчедин</t>
  </si>
  <si>
    <t>ПРОЈЕКАТ - Асфалтирање улица по насељеним местима општине Инђија</t>
  </si>
  <si>
    <t>ПРОЈЕКАТ - Појачано одржавање (рехабилитација) Голубиначке улице у  Инђији</t>
  </si>
  <si>
    <t>ПРОЈЕКАТ - Санација, поправка и извођење радова на пешачким стазама - тротоарима по насељеним местима општине Инђија</t>
  </si>
  <si>
    <t>ПРОЈЕКАТ - Израда техничке документације и извођење радова на изградњи кабловског вода 20KV са постојећег "20KV Бешка - Крчедин" далековода у дужини од цца. 500 м као и изградњу МБТС 20/0,4 KV у радној зони Бешка Локација 3</t>
  </si>
  <si>
    <t>ПРОЈЕКАТ- Израда пројектне документације и изградња пешачке стазе од градског базена до "Бразде" у Инђији</t>
  </si>
  <si>
    <t>ПРОЈЕКАТ - Израда пројеката техничке  регулације саобраћаја за време извођења радова</t>
  </si>
  <si>
    <t>ПРОЈЕКАТ - Израда пројектне документације за изградњу пешачких семафора на државном путу II А  - 100 кроз насељено место Инђија</t>
  </si>
  <si>
    <t>ПРОЈЕКАТ - Израда пројектне документације марине у Старом Сланкамену</t>
  </si>
  <si>
    <t>ПРОЈЕКАТ - Израда пројектне документације проширења коловоза у улици Фрушкогорска у Новом Сланкамену</t>
  </si>
  <si>
    <t>ПРОЈЕКАТ  - Израда пројектне документације проширења коловоза у улици Соње Маринковић у Инђији</t>
  </si>
  <si>
    <t>ПРОЈЕКАТ - Израда пројектне документације и изградња аутобуских стајалишта у улици Цара Душана у Крчедину</t>
  </si>
  <si>
    <t>ПРОЈЕКАТ  - Израда пројектне документације за  реконструкцију раскрснице улица Лукачева (ДП другог реда), Главне и Челенске у насељу  Нови Карловци</t>
  </si>
  <si>
    <t>ПРОЈЕКАТ  - Израда пројектне документације и  реконструкција пута од Виле "Станковић" у Чортановцима до Дунава</t>
  </si>
  <si>
    <t>ПРОЈЕКАТ  - Израда пројектне документације, изградња и реконструкција тротоара у насељу  Нови Карловци</t>
  </si>
  <si>
    <t>ПРОЈЕКАТ  - Израда пројектне документације и уређење ужег дела центра насеља  Крчедин</t>
  </si>
  <si>
    <t>ПРОЈЕКАТ - Израда пројектне документације за изградњу кружног тока у центру Бешке</t>
  </si>
  <si>
    <t>ПРОЈЕКАТ - Израда пројектне документације за изградњу кружног тока у Новом Сланкамену - раскрсница улица Цара Душана, Фрушкогорска и Дунавска</t>
  </si>
  <si>
    <t>ПРОЈЕКАТ - Израда пројектне документације упарених аутобуских стајалишта са нишама, у коридору државног пута  у улици Цара Душана у Марадику</t>
  </si>
  <si>
    <t>ПРОЈЕКАТ  - Израда Плана превентивних мера о повременим и привременим градилиштима</t>
  </si>
  <si>
    <t>ПРОЈЕКАТ  - Израда Плана техничке регулације саобраћаја за насељена места општине Инђија</t>
  </si>
  <si>
    <t>ПРОЈЕКАТ  - Реконструкција пута Л18 Нови Сланкамен - Сурдук</t>
  </si>
  <si>
    <t>ПРОЈЕКАТ  -  Извођење радова  државног пута II реда -126 - лево скретање за Гумапласт</t>
  </si>
  <si>
    <t>ПРОЈЕКАТ  - Израда пројектне документације и изградња упарених аутобуских стајалишта у Инђији, у улици Цара Душана</t>
  </si>
  <si>
    <t>ПРОЈЕКАТ - Израда пројектне документације и изградња пешачке стазе до Лесног профила</t>
  </si>
  <si>
    <t>ПРОЈЕКАТ - Израда и монтажа надстрешница за аутобуска стајалишта на територији општине Инђија</t>
  </si>
  <si>
    <t>ПРОЈЕКАТ - Израда пројектне документације и реконструкција  Трга Слободе у центру Инђије (фонтана)</t>
  </si>
  <si>
    <t>ПРОЈЕКАТ - ВИДЕО НАДЗОР ОД ЈАВНОГ ИНТЕРЕСА ЗА ОПШТИНУ ИНЂИЈА</t>
  </si>
  <si>
    <t>ПРОЈЕКАТ - ВИДЕО НАДЗОР У ОБРАЗОВНИМ УСТАНОВАМА</t>
  </si>
  <si>
    <t>ПРОЈЕКАТ - ВИДЕО НАДЗОР НА РАСКРСНИЦИ</t>
  </si>
  <si>
    <t xml:space="preserve">Специјализоване услуге - Видео надзор </t>
  </si>
  <si>
    <t>ПРОЈЕКАТ  -  Израда претходне студије оправданости за пречишћавање отпадних вода у индустријској зони у Инђији</t>
  </si>
  <si>
    <t>ПРОЈЕКАТ -Израда пројектне документације атмосферске канализације у улици Михаила Пупина  у Инђији</t>
  </si>
  <si>
    <t>ПРОЈЕКАТ  - Израда пројектне документације атмосферске канализације у улици Занатлијска трећи део у Инђији</t>
  </si>
  <si>
    <t>ПРОЈЕКАТ  - Израда Идејног решења атмосферске канализације насеља Инђија - слив 3</t>
  </si>
  <si>
    <t>ПРОЈЕКАТ - Изградња  атмосферске канализације у Војвођанској и улици Соње Маринковић</t>
  </si>
  <si>
    <t xml:space="preserve">ПРОЈЕКАТ  - Израда Идејног решења одвођења атмосферских вода насељених места Инђија </t>
  </si>
  <si>
    <t>ПРОЈЕКАТ -  Извођење радова на изградњи атмосферске канализације у улицама Иве Андрића и Расадничка у Бешки</t>
  </si>
  <si>
    <t>ПРОЈЕКАТ  - ИЗРАДА ПРОЈЕКТА САНАЦИЈЕ, ЗАТВАРАЊА И РЕКУЛТИВАЦИЈЕ ПОСТОЈЕЋЕ НЕСАНИТАРНЕ ОПШТИНСКЕ ДЕПОНИЈЕ - СМЕТЛИШТА У ИНЂИЈИ</t>
  </si>
  <si>
    <t xml:space="preserve">ПРОЈЕКАТ  - Узорковање  земљишта </t>
  </si>
  <si>
    <t>ПРОЈЕКАТ - Услуге премера и идентификације катастарских парцела пољопривредног земљишта у државној својини</t>
  </si>
  <si>
    <t>ПРОЈЕКАТ  -  Организовање пољочуварске службе</t>
  </si>
  <si>
    <t>ПРОЈЕКАТ  - Уређење каналске мреже у функцији одводњавања на подручју општине Инђија</t>
  </si>
  <si>
    <t>ПРОЈЕКАТ - РЕКОНСТРУКЦИЈА КЕЛТСКОГ НАСЕЉА</t>
  </si>
  <si>
    <t>ПРОЈЕКАТ - Израда 3Д модела рекламних плаката и брошура за потребе инвестиција предвиђених програмом</t>
  </si>
  <si>
    <t>ПРОЈЕКАТ - РАЗВОЈНИ ПРОЈЕКТИ</t>
  </si>
  <si>
    <t>УКУПНО ЗА ПРОЈЕКАТ  - РАЗВОЈНИ ПРОЈЕКТИ</t>
  </si>
  <si>
    <t>ПРОЈЕКАТ  - ПОДСТИЦАЈИ ЗА РАД ИНКУБАТОРА ЗА ИНОВАТИВНЕ START-UP КОМПАНИЈЕ</t>
  </si>
  <si>
    <t>ПРОЈЕКАТ  - Промоција општине Инђија</t>
  </si>
  <si>
    <t>ПРОЈЕКАТ  - СУБВЕНЦИОНИСАЊЕ ДЕЛА КАМАТНИХ СТОПА ЗА ПРЕДУЗЕЋА И ПРЕДУЗЕТНИКЕ</t>
  </si>
  <si>
    <t>ПРОЈЕКАТ  - ПОДСТИЦАЈИ ЗА РАЗВОЈ ПРЕДУЗЕТНИШТВА</t>
  </si>
  <si>
    <t>ПРОЈЕКАТ  - Израда геомеханичког елабората земљишта на локацији 15 у Инђији</t>
  </si>
  <si>
    <t>ПРОЈЕКАТ  - КОНКУРС ЗА ОСТАЛЕ НЕВЛАДИНЕ ОРГАНИЗАЦИЈЕ</t>
  </si>
  <si>
    <t>ПРОЈЕКАТ - Израда техничке документације за уградњу инсталација и опреме у ЦС фекалне канализације у С3 Локација 15 КО Инђија</t>
  </si>
  <si>
    <t>ПРОЈЕКАТ -  Изградња фекалне канализације дуж саобраћајнице С1 у радној зони Локација 15 КО Инђија у дужини 600 м</t>
  </si>
  <si>
    <t>ПРОЈЕКАТ - Набавка возила - ПАУК</t>
  </si>
  <si>
    <t>ПРОЈЕКАТ - Набавка камиона кипера и камиона смећара</t>
  </si>
  <si>
    <t>УКУПНО  ПРОЈЕКАТ</t>
  </si>
  <si>
    <t>Функционисање система енергетског менаџмента</t>
  </si>
  <si>
    <t>Постојање локалне одлуке о енергетској ефикасности</t>
  </si>
  <si>
    <t>Стварање услова за очување и унапређење здравља становништва</t>
  </si>
  <si>
    <t>Проценат реализованих у односу на број планираних посебних програма и пројеката из области јавног здравља</t>
  </si>
  <si>
    <t>ПРОЈЕКАТ  - Израда пројектне документације за изградњу пешачко бициклистичке стазе од Инђије до Јарковаца дуж пута Л-22 са јавном расветом</t>
  </si>
  <si>
    <t>ПРОЈЕКАТ - Израда техничке документације саобраћајница у индустријској зони Бешка</t>
  </si>
  <si>
    <t>ПРОЈЕКАТ - Изградња стубне трафо станице (СТС) Новосадска</t>
  </si>
  <si>
    <t xml:space="preserve">ПРОЈЕКАТ  - Изградња продужетака мреже јавне расвете у улицама на територији општине Инђија </t>
  </si>
  <si>
    <t>ПРОЈЕКАТ - Изградња стубне трафо станице (СТС) Каменова  улица</t>
  </si>
  <si>
    <t>ПРОЈЕКАТ  - Израда пројектне документације и извођење радова за хидромасажни базен и плато</t>
  </si>
  <si>
    <t>Спровођење активности из области друштвене бриге за јавно здравље</t>
  </si>
  <si>
    <t>ПРОЈЕКАТ - Израда техничке документације и извођење радова на изградњи двоструког кабловског вода у индустијској зони на Локацији 15 од МБТС Индофуд до планиране МБТС 2х630 КVA у дужини 2х1,1 км у зони раскрснице саобраћајница С1 и С3 и изградњу планиране трафо станице</t>
  </si>
  <si>
    <t>ПРОЈЕКАТ  - Израда пројектне документације и реконструкција крова и фасаде на објекту МЗ Нови Сланкамен</t>
  </si>
  <si>
    <t>ПРОЈЕКАТ - ЈКП "Водовод и канализација" Повезани цевовод Инђија - Бешка - Фаза I (од фабрике Грундфос до шахта Ш6 код ЦС Бешка -Југ)</t>
  </si>
  <si>
    <t>ПРОЈЕКАТ - Изградња водовода дуж саобраћајнице С1 у радној зони Локација 15 КО Инђија у дужини 600 м</t>
  </si>
  <si>
    <t>ПРОЈЕКАТ- Извођење радова на продужетку водоводне мреже у улици Змај Јовина у ИНђији</t>
  </si>
  <si>
    <t>ПРОЈЕКАТ - Извођење радова на продужетку водоводне мреже у улици Мике Антића у Бешки</t>
  </si>
  <si>
    <t>ПРОЈЕКАТ  - ЧИПОВАЊЕ И СТЕРИЛИЗАЦИЈА ПАСА И МАЧАКА</t>
  </si>
  <si>
    <t>ПРОЈЕКАТ  - НАБАВКА ПОСУДА ЗА САКУПЉАЊЕ КОМУНАЛНОГ ОТПАДА</t>
  </si>
  <si>
    <t>ПРОЈЕКАТ - Постројење за припрему воде</t>
  </si>
  <si>
    <t>ПРОЈЕКАТ - Израда пројектне документације и извођење радова на уређењу објекта месне заједнице и полиције у Бешки</t>
  </si>
  <si>
    <t>ПРОЈЕКАТ -  Израда техничке документације на  уређењу просторија месне заједнице Стари Сланкамен</t>
  </si>
  <si>
    <t>ПРОЈЕКАТ  -  Изградња кућних прикључака  фекалне канализације Бешка</t>
  </si>
  <si>
    <t>ПРОЈЕКАТ  -  Израда техничке документације  изградње фекалне канализације (Крчедин, Марадик, Нови Карловци, Нови Сланкамен и Стари Сланкамен)</t>
  </si>
  <si>
    <t>ПРОЈЕКАТ  -  Изградња колектора фекалне канализације за потребе индустријске зоне Бешка</t>
  </si>
  <si>
    <t>ПРОЈЕКАТ  - Учешће у изградњи продужетака НН мреже у Калакачи Бешка</t>
  </si>
  <si>
    <t>ПРОЈЕКАТ  - Израда пројектне документације реконструкције градске пијаце у Инђији</t>
  </si>
  <si>
    <t>ПРОЈЕКАТ  - Реконструкција градске пијаце у Инђији</t>
  </si>
  <si>
    <t>ПРОЈЕКАТ  - 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t>
  </si>
  <si>
    <t>ПРОЈЕКАТ  - Стручни надзор над изградњом водоводне мреже и фекалне канализације дуж саобраћајнице С2</t>
  </si>
  <si>
    <t>ПРОЈЕКАТ  - Стручни надзор над изградњом колектора фекалне канализације за потребе индустријске зоне Бешка</t>
  </si>
  <si>
    <t>ПРОЈЕКАТ - Израда техничке документације за уређење комплекса пијаце у Бешки</t>
  </si>
  <si>
    <t>ПРОЈЕКАТ  - Израда пројектне и техничке документације и рушење станова у бр. 6, 8 и 10 у Железничкој улици у Инђији</t>
  </si>
  <si>
    <t>УКУПНО  ПРОJEKAT</t>
  </si>
  <si>
    <t>ПРОЈЕКАТ  - Успостављање истраживачког центра Милутин Миланковић у Старом Сланкамену</t>
  </si>
  <si>
    <t>ПРОЈЕКАТ - Набавка паник тастера</t>
  </si>
  <si>
    <t>Услуге по уговору - Набавка паник тастера</t>
  </si>
  <si>
    <t>ПРОЈЕКАТ- ПОКЛОНИ ЗА ИСТАКНУТЕ УЧЕНИКЕ И СПОРТИСТЕ</t>
  </si>
  <si>
    <t>ПРОЈЕКАТ - ПОКЛОНИ ЗА ВУКОВЦЕ</t>
  </si>
  <si>
    <t xml:space="preserve">УКУПНО ЗА ПРОЈЕКАТ   </t>
  </si>
  <si>
    <t>ПРОЈЕКАТ - СТИПЕНДИЈЕ ЗА СПОРТИСТЕ</t>
  </si>
  <si>
    <t>ПРОЈЕКАТ  - ПОБОЉШАЊЕ СТАНДАРДА СТУДЕНАТА</t>
  </si>
  <si>
    <t xml:space="preserve">ПРОЈЕКАТ - Бесповратно суфинансирање активности на уређењу фасада зграда </t>
  </si>
  <si>
    <t xml:space="preserve">ПРОЈЕКАТ - Израда пројектне документације, адаптација и реконструкција  "Виле Љубица" у Сутомору </t>
  </si>
  <si>
    <t>ПРОЈЕКАТ - Реконструкција зграде Месне заједнице у Старом Сланкамену</t>
  </si>
  <si>
    <t>ПРОЈЕКАТ - Модернизација рада Скупштине општине Инђија</t>
  </si>
  <si>
    <t>ПРОГРАМ 3 - ЛОКАЛНИ ЕКОНОМСКИ РАЗВОЈ</t>
  </si>
  <si>
    <t>ПРОЈЕКАТ - Израда пројектне документације за изградњу јавне расвете у радној зони Бешка локација 3</t>
  </si>
  <si>
    <t>ПРОЈЕКАТ  - Израда пројектне документације и извођење радова на реконструкцији објекта здравствене станице у Новом Сланкамену</t>
  </si>
  <si>
    <t>Распоред трошења средстава по изворима финасирања дат је у следећој табели:</t>
  </si>
  <si>
    <t xml:space="preserve"> ИЗВОР 01 - Приходи из буџета</t>
  </si>
  <si>
    <t>ИЗВОР 04 - Сопствени приходи буџетских корисника</t>
  </si>
  <si>
    <t>ИЗВОР 06 - Донације од међународних организација</t>
  </si>
  <si>
    <t>ИЗВОР 07 - Трансфери од других нивоа власти</t>
  </si>
  <si>
    <t>ИЗВОР 08 - Добровољни трансфери од физичких и правних лица</t>
  </si>
  <si>
    <t>ИЗВОР 09 - Примања од продаје нефинансијске имовине</t>
  </si>
  <si>
    <t>ИЗВОР 10 - Примања од домаћих задуживања</t>
  </si>
  <si>
    <t>ИЗВОР 16 - Родитељски динар за ваннаставне активности</t>
  </si>
  <si>
    <t>ПРОЈЕКАТ - Извођење радова на опремању индустријске зоне Бешка (пут, вода и фекална канализација)</t>
  </si>
  <si>
    <t>ПРОЈЕКАТ - Извођење радова на опремању индустријске зоне Локација 15 - друга фаза (пут, вода и фекална канализација дуж саобраћајнице С-2) - фаза изградње фекалне канализације дуж десног крака саобраћајнице С2 од шахта Ф3-19 до шахта Ф2-27</t>
  </si>
  <si>
    <t xml:space="preserve">ПРОЈЕКАТ - Изградња царинског складишта </t>
  </si>
  <si>
    <t xml:space="preserve">ПРОЈЕКАТ - Израда пројектне документације и реконструкција зграде суда  у Инђији </t>
  </si>
  <si>
    <t>ПРОЈЕКАТ - Уређење пољопривредне инфраструктуре-атарски путеви</t>
  </si>
  <si>
    <t>ПРОЈЕКАТ  - Рехабилитација коловоза улице 1. Новембра у  Љукову</t>
  </si>
  <si>
    <t>ПРОЈЕКАТ Изградња капеле у Марадику</t>
  </si>
  <si>
    <t>ПРОЈЕКАТ Изградња капеле у Чортановцима</t>
  </si>
  <si>
    <t>ПРОЈЕКАТ - Набавка булдожера за потребе ЈП Ингрин</t>
  </si>
  <si>
    <t>ПРОЈЕКАТ - Реконструкцију слободног профила у постојећој регулацији дела улице Цара Душана  у насељу Нови Сланкамен,  деоница раскрснице са улицом Вука  Караџића до раскрснице са улицом Светосавском</t>
  </si>
  <si>
    <t>ПРОЈЕКАТ - Рехабилитација улице Краља Петра првог у  Бешки</t>
  </si>
  <si>
    <t>ПРОЈЕКАТ  -  Израда пројектне документације и изградња бициклистичких и пешачких стаза дуж државног пута IIА-126 у Инђији - од Гумапласта до Оутлета</t>
  </si>
  <si>
    <t>Субвенције јавним нефинансијским предузећима и организацијама - СОЦИЈАЛНО-ЕКОНОМСКИ САВЕТ ОПШТИНЕ ИНЂИЈА</t>
  </si>
  <si>
    <t>Накнаде за социјалну заштиту из буџета - Центар за социјални рад "Дунав"</t>
  </si>
  <si>
    <t>420/А</t>
  </si>
  <si>
    <t>419/А</t>
  </si>
  <si>
    <t>409/А</t>
  </si>
  <si>
    <t>342/А</t>
  </si>
  <si>
    <t>341/А</t>
  </si>
  <si>
    <t>333/А</t>
  </si>
  <si>
    <t>316/А</t>
  </si>
  <si>
    <t>304/А</t>
  </si>
  <si>
    <t>302/А</t>
  </si>
  <si>
    <t>301/А</t>
  </si>
  <si>
    <t>263/А</t>
  </si>
  <si>
    <t>253/А</t>
  </si>
  <si>
    <t>252/А</t>
  </si>
  <si>
    <t>248/А</t>
  </si>
  <si>
    <t>247/А</t>
  </si>
  <si>
    <t>245/А</t>
  </si>
  <si>
    <t>240/А</t>
  </si>
  <si>
    <t>239/А</t>
  </si>
  <si>
    <t>236/А</t>
  </si>
  <si>
    <t>233/А</t>
  </si>
  <si>
    <t>228/А</t>
  </si>
  <si>
    <t>214/А</t>
  </si>
  <si>
    <t>211/А</t>
  </si>
  <si>
    <t>209/А</t>
  </si>
  <si>
    <t>197/А</t>
  </si>
  <si>
    <t>191/А</t>
  </si>
  <si>
    <t>186/А</t>
  </si>
  <si>
    <t>184/А</t>
  </si>
  <si>
    <t>174/А</t>
  </si>
  <si>
    <t>173/А</t>
  </si>
  <si>
    <t>139/А</t>
  </si>
  <si>
    <t>137/А</t>
  </si>
  <si>
    <t>118/А</t>
  </si>
  <si>
    <t>106/А</t>
  </si>
  <si>
    <t>104/А</t>
  </si>
  <si>
    <t>101/А</t>
  </si>
  <si>
    <t>96/А</t>
  </si>
  <si>
    <t>93/А</t>
  </si>
  <si>
    <t>84/А</t>
  </si>
  <si>
    <t>84/Б</t>
  </si>
  <si>
    <t>67/А</t>
  </si>
  <si>
    <t>71/А</t>
  </si>
  <si>
    <t>422/А</t>
  </si>
  <si>
    <t>Скупштина општине Инђија на седници одржаној _________________ 2019. године донела је</t>
  </si>
  <si>
    <t>ПРОЈЕКАТ - СОЦИЈАЛНА ИНТЕГРАЦИЈА КРОЗ ПАРАСПОРТ - PARAINSPIRED</t>
  </si>
  <si>
    <t xml:space="preserve"> Донације од међународних организација</t>
  </si>
  <si>
    <t>О РЕБАЛАНСУ БУЏЕТА ОПШТИНЕ ИНЂИЈА ЗА 2019. ГОДИНУ</t>
  </si>
  <si>
    <t xml:space="preserve">Члан 5. мења се и гласи:"Укупни приходи и примања буџета, као и расходи и издаци буџета утврђују се билансом према економској </t>
  </si>
  <si>
    <t>класификацији у следећим износима":</t>
  </si>
  <si>
    <t>Члан 3.</t>
  </si>
  <si>
    <t xml:space="preserve">Члан 6. мења се и гласи:"Приходи и примања који представљају буџетска средства утврђени су у следећим износима у Рачуну прихода и </t>
  </si>
  <si>
    <t xml:space="preserve"> примања, расхода и издатака:</t>
  </si>
  <si>
    <t>Члан 7. мења се и гласи:"Расходи и издаци ове Одлуке користиће се за следећа програме:</t>
  </si>
  <si>
    <t xml:space="preserve"> корисника у износу од 26.698.050,00 распоређују се по корисницима и наменама и то:</t>
  </si>
  <si>
    <t>424/A</t>
  </si>
  <si>
    <t>424/Б</t>
  </si>
  <si>
    <t>424/В</t>
  </si>
  <si>
    <t>140/А</t>
  </si>
  <si>
    <t>140/Б</t>
  </si>
  <si>
    <t>ПРОЈЕКАТ - Инвестициони радови на текућем одржавању зграде суда  у Инђији - молерско фарбарски, електро и подополагачки радови</t>
  </si>
  <si>
    <t xml:space="preserve">ПРОЈЕКАТ - Набавка канцеларијске опреме за зграду суда  у Инђији </t>
  </si>
  <si>
    <t>140/В</t>
  </si>
  <si>
    <t>ПРОЈЕКАТ  - "ПОДСТИЦАЈИ ЗАПОШЉАВАЊА НЕЗАПОСЛЕНИХ ЛИЦА"</t>
  </si>
  <si>
    <t>215/А</t>
  </si>
  <si>
    <t>ПРОЈЕКАТ - Израда пројектне документације и изградња пешачке стазе у улици Цара Душана у Новом Сланкамену - лева страна из правца Инђије</t>
  </si>
  <si>
    <t>238/А</t>
  </si>
  <si>
    <t>84/А1</t>
  </si>
  <si>
    <t>84/Б1</t>
  </si>
  <si>
    <t>124/А</t>
  </si>
  <si>
    <t>183/А</t>
  </si>
  <si>
    <t>ПРОЈЕКАТ  - АКТИВНОСТ УКЛАЊАЊА ДИВЉИХ ДЕПОНИЈА С ПОЉОПРИВРЕДНОГ ЗЕМЉИШТА</t>
  </si>
  <si>
    <t>237/А</t>
  </si>
  <si>
    <t>ПРОЈЕКАТ - ЈКП "Водовод и канализација" Изградња сабирног цевовода, батерија бунара Б-23, Б-24, Б-25 и полагање напојног вода за све три батерије на катастарским парцелама број 7510/16, 7510/20,7510/24 и 7710/14 К.О . Инђија-Фаза IV/сабирни цевовод, напојни вод и бушење и опремање бунара Б/25д и Б/25п/</t>
  </si>
  <si>
    <t>ПРОЈЕКАТ - Израда техничке документацијесистема за наводњавање у Општини Инђија (6000 ха) подсистеми (Нови Сланкамен 2300 ха и  Стари Сланкамен 3700 ха)</t>
  </si>
  <si>
    <t>179/А</t>
  </si>
  <si>
    <t>ПРОЈЕКАТ - Припремни радови на привођењу земљишта намени, Индустријска зона, локација 3 у Бешки (култивисање локације и уклањање парлога, геодетско обележавање и увођење у посед)</t>
  </si>
  <si>
    <t>396/А</t>
  </si>
  <si>
    <t>Специјализоване услуге - Лига шампиона - Најјачи човек Србије 2019</t>
  </si>
  <si>
    <t>405/А</t>
  </si>
  <si>
    <t xml:space="preserve">ПРОЈЕКАТ  - Прибављање монтажно-демонтажног спортског објекта </t>
  </si>
  <si>
    <t>422/А1</t>
  </si>
  <si>
    <t>ПРОЈЕКАТ  - Спортски терен у Бешки</t>
  </si>
  <si>
    <t>ПРОЈЕКАТ  - ИНВЕСТИЦИЈЕ У СПОРТУ -Израда пројектне документације, изградња и опремање објекта Академије спорта у Лејама</t>
  </si>
  <si>
    <t>ПРОЈЕКАТ - ИЗРАДА СКУЛПТУРЕ НА ТРГУ СЛОБОДЕ</t>
  </si>
  <si>
    <t>388/А</t>
  </si>
  <si>
    <t>Зграде и грађевински објекти - Израда пројектне документације за изградњу I фазе кадровских станова</t>
  </si>
  <si>
    <t>80/А</t>
  </si>
  <si>
    <t>ПРОЈЕКАТ - Уређење путева у викенд насељима цементном стабилизацијом</t>
  </si>
  <si>
    <t>241/А</t>
  </si>
  <si>
    <t>241/Б</t>
  </si>
  <si>
    <t>ПРОЈЕКАТ  - Центар за заштиту потрошача - образовни потрошач Инђија - суфинасирање пројеката</t>
  </si>
  <si>
    <t>125/А</t>
  </si>
  <si>
    <t>125/А1</t>
  </si>
  <si>
    <t>Дотације невладиним организацијама - "Основе енергетске ефикасности"</t>
  </si>
  <si>
    <t>Дотације невладиним организацијама - "Будућност коју сами стварамо"</t>
  </si>
  <si>
    <t>93/А1</t>
  </si>
  <si>
    <t>461/A</t>
  </si>
  <si>
    <t>ПРОЈЕКАТ - Изградњa јавне расвете у парку Данице Јовановић у  Бешки</t>
  </si>
  <si>
    <t>385/А</t>
  </si>
  <si>
    <t>ПРОЈЕКАТ - СУФИНАНСИРАЊЕ ПРОЈЕКТА ЗА СНИМАЊЕ ДУГОМЕТРАЖНОГ ФИЛМА "СВЕТОЗАРЈЕ СРПСКО"</t>
  </si>
  <si>
    <t>УКУПНО  ПРОГРАМСКА АКТИВНОСТ 1101-0004</t>
  </si>
  <si>
    <t>212/A</t>
  </si>
  <si>
    <t>191/А1</t>
  </si>
  <si>
    <t>ПРОЈЕКАТ - Набавка ватрогасног возила</t>
  </si>
  <si>
    <t xml:space="preserve">На основу чл. 43. став 1.  47.  став 3. и 63. став 1. Закона о буџетском систему ("Службени гласник  Републике Србије" 54/09, </t>
  </si>
  <si>
    <t xml:space="preserve">73/10, 101/10,101/11, 93/12, 62/13, 63/13-исправка, 108/13, 142/14, 68/15-др.закон, 103/15, 99/16, 113/17, 95/18 и 31/19) и члана 32. став 1. тачка 2. </t>
  </si>
  <si>
    <t xml:space="preserve">Закона о локалној самоуправи  ("Службени гласник Републике Србије" 129/07, 83/14 - др. закон, 101/16 и 47/18) и члана 40. став 1. тачка 2 Статута Општине </t>
  </si>
  <si>
    <t>Инђија  ("Службени лист општине Инђија", бр.  5/19)</t>
  </si>
  <si>
    <t>Ову одлуку доставити Министарству финансија Републике Србије.</t>
  </si>
  <si>
    <t>Ова одлука ступа на снагу осмог дана од дана објављивања у "Службеном листу општине Инђија".</t>
  </si>
  <si>
    <t>ПРОЈЕКАТ  - Инвестициони радови на текућем одржавању, на објекту предшколске установе у Бешки</t>
  </si>
  <si>
    <r>
      <t xml:space="preserve">Специјализоване услуге - </t>
    </r>
    <r>
      <rPr>
        <sz val="8"/>
        <color rgb="FFFF0000"/>
        <rFont val="Arial"/>
        <family val="2"/>
      </rPr>
      <t>Уређење каналске мреже</t>
    </r>
    <r>
      <rPr>
        <sz val="8"/>
        <rFont val="Arial"/>
        <family val="2"/>
        <charset val="238"/>
      </rPr>
      <t xml:space="preserve"> </t>
    </r>
  </si>
  <si>
    <t>110/А</t>
  </si>
  <si>
    <t>ПРОЈЕКАТ - Нивелација земњишта - ископ хумуса са утоваром и транспортом у индустријској зони Локација 15, Инђија</t>
  </si>
  <si>
    <t>435/А</t>
  </si>
  <si>
    <t>85/А</t>
  </si>
  <si>
    <t>86/А</t>
  </si>
  <si>
    <t>87/А</t>
  </si>
  <si>
    <t>88/А</t>
  </si>
  <si>
    <t>278/A</t>
  </si>
  <si>
    <t>Члан 8. мења се и гласи:"Средства буџета у износу од 5.724.168.950,00 динара и средства од прихода из додатних активности  индиректних</t>
  </si>
  <si>
    <t>13</t>
  </si>
  <si>
    <t>Нераспоређен вишак прихода из ранијих година</t>
  </si>
  <si>
    <t>ИЗВОР 13 - Нераспоређен вишак прихода из ранијих година</t>
  </si>
  <si>
    <t xml:space="preserve">У Одлуци о буџету Општине Инђија за 2019. годину ("Сл. лист општине Инђија", бр. 28/18, 5/19 и 15/19), у члану 2. износ: "5.922.198.050,00"  </t>
  </si>
  <si>
    <t>замењује се износом: "5.750.867.000,00", износ: "5.895.500.000,00" замењује се износом: "5.724.168.950,00".</t>
  </si>
  <si>
    <t>ПРОЈЕКАТ  - Завршетак радова на спортској хали у Инђији</t>
  </si>
  <si>
    <t>Инђија на седници одржаној дана 13. септембра 2019  године донела је</t>
  </si>
  <si>
    <t>Број:400-30/2019-I</t>
  </si>
  <si>
    <t>Дана: 13.септембра 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</si>
</sst>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7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9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Arial"/>
      <family val="2"/>
    </font>
    <font>
      <b/>
      <i/>
      <sz val="11"/>
      <name val="Arial"/>
      <family val="2"/>
      <charset val="238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color rgb="FFFF0000"/>
      <name val="Arial"/>
      <family val="2"/>
    </font>
    <font>
      <b/>
      <sz val="9"/>
      <color theme="7" tint="-0.249977111117893"/>
      <name val="Arial"/>
      <family val="2"/>
      <charset val="238"/>
    </font>
    <font>
      <sz val="9"/>
      <color theme="7" tint="-0.249977111117893"/>
      <name val="Arial"/>
      <family val="2"/>
      <charset val="238"/>
    </font>
    <font>
      <sz val="11"/>
      <color theme="7"/>
      <name val="Arial"/>
      <family val="2"/>
      <charset val="238"/>
    </font>
    <font>
      <b/>
      <sz val="9"/>
      <color theme="7"/>
      <name val="Arial"/>
      <family val="2"/>
      <charset val="238"/>
    </font>
    <font>
      <sz val="9"/>
      <color theme="7"/>
      <name val="Arial"/>
      <family val="2"/>
      <charset val="238"/>
    </font>
    <font>
      <sz val="8"/>
      <color theme="7"/>
      <name val="Arial"/>
      <family val="2"/>
      <charset val="238"/>
    </font>
    <font>
      <b/>
      <sz val="11"/>
      <color theme="7"/>
      <name val="Arial"/>
      <family val="2"/>
      <charset val="238"/>
    </font>
    <font>
      <b/>
      <sz val="8"/>
      <color theme="7"/>
      <name val="Arial"/>
      <family val="2"/>
      <charset val="238"/>
    </font>
    <font>
      <sz val="9"/>
      <color theme="7"/>
      <name val="Arial"/>
      <family val="2"/>
    </font>
    <font>
      <b/>
      <sz val="9"/>
      <color theme="7"/>
      <name val="Arial"/>
      <family val="2"/>
    </font>
    <font>
      <b/>
      <sz val="9"/>
      <color theme="7" tint="-0.249977111117893"/>
      <name val="Calibri"/>
      <family val="2"/>
      <charset val="238"/>
      <scheme val="minor"/>
    </font>
    <font>
      <sz val="9"/>
      <color theme="7" tint="-0.249977111117893"/>
      <name val="Calibri"/>
      <family val="2"/>
      <charset val="238"/>
      <scheme val="minor"/>
    </font>
    <font>
      <b/>
      <i/>
      <sz val="9"/>
      <color theme="7" tint="-0.249977111117893"/>
      <name val="Arial"/>
      <family val="2"/>
      <charset val="238"/>
    </font>
    <font>
      <sz val="9"/>
      <color theme="7" tint="-0.249977111117893"/>
      <name val="Arial"/>
      <family val="2"/>
    </font>
    <font>
      <b/>
      <sz val="9"/>
      <color theme="7" tint="-0.249977111117893"/>
      <name val="Arial"/>
      <family val="2"/>
    </font>
    <font>
      <b/>
      <u/>
      <sz val="9"/>
      <color rgb="FFFF0000"/>
      <name val="Arial"/>
      <family val="2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64" fontId="16" fillId="0" borderId="0" applyFont="0" applyFill="0" applyBorder="0" applyAlignment="0" applyProtection="0"/>
    <xf numFmtId="0" fontId="17" fillId="0" borderId="0"/>
  </cellStyleXfs>
  <cellXfs count="120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left" vertical="center" wrapText="1"/>
    </xf>
    <xf numFmtId="3" fontId="12" fillId="0" borderId="4" xfId="4" applyNumberFormat="1" applyFont="1" applyBorder="1" applyAlignment="1">
      <alignment horizontal="right" vertical="center"/>
    </xf>
    <xf numFmtId="3" fontId="12" fillId="0" borderId="4" xfId="4" applyNumberFormat="1" applyFont="1" applyFill="1" applyBorder="1" applyAlignment="1" applyProtection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 wrapText="1"/>
    </xf>
    <xf numFmtId="3" fontId="12" fillId="0" borderId="4" xfId="4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4" xfId="3" applyFont="1" applyFill="1" applyBorder="1" applyAlignment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9" fontId="6" fillId="0" borderId="2" xfId="5" applyNumberFormat="1" applyFont="1" applyBorder="1" applyAlignment="1">
      <alignment horizontal="center" vertical="center" wrapText="1"/>
    </xf>
    <xf numFmtId="0" fontId="11" fillId="6" borderId="4" xfId="5" applyFont="1" applyFill="1" applyBorder="1" applyAlignment="1">
      <alignment horizontal="left" vertical="center" wrapText="1"/>
    </xf>
    <xf numFmtId="49" fontId="11" fillId="8" borderId="4" xfId="0" applyNumberFormat="1" applyFont="1" applyFill="1" applyBorder="1" applyAlignment="1" applyProtection="1">
      <alignment horizontal="left" vertical="center"/>
    </xf>
    <xf numFmtId="0" fontId="11" fillId="8" borderId="4" xfId="0" applyFont="1" applyFill="1" applyBorder="1" applyAlignment="1" applyProtection="1">
      <alignment horizontal="left" vertical="center" wrapText="1"/>
    </xf>
    <xf numFmtId="3" fontId="11" fillId="8" borderId="4" xfId="4" applyNumberFormat="1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left" vertical="center" wrapText="1"/>
    </xf>
    <xf numFmtId="0" fontId="11" fillId="8" borderId="0" xfId="0" applyFont="1" applyFill="1" applyAlignment="1">
      <alignment vertical="center" wrapText="1"/>
    </xf>
    <xf numFmtId="3" fontId="11" fillId="8" borderId="4" xfId="4" applyNumberFormat="1" applyFont="1" applyFill="1" applyBorder="1" applyAlignment="1" applyProtection="1">
      <alignment horizontal="right" vertical="center"/>
    </xf>
    <xf numFmtId="0" fontId="11" fillId="8" borderId="4" xfId="0" applyFont="1" applyFill="1" applyBorder="1" applyAlignment="1">
      <alignment horizontal="left" vertical="center"/>
    </xf>
    <xf numFmtId="3" fontId="11" fillId="6" borderId="4" xfId="4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10" borderId="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5" fillId="0" borderId="4" xfId="2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" fontId="2" fillId="0" borderId="4" xfId="2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9" fontId="6" fillId="0" borderId="0" xfId="5" applyNumberFormat="1" applyFont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vertical="center"/>
    </xf>
    <xf numFmtId="4" fontId="1" fillId="0" borderId="4" xfId="2" applyNumberFormat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19" fillId="0" borderId="0" xfId="0" applyFont="1"/>
    <xf numFmtId="0" fontId="18" fillId="0" borderId="0" xfId="0" applyFont="1"/>
    <xf numFmtId="49" fontId="12" fillId="0" borderId="4" xfId="0" applyNumberFormat="1" applyFont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7" xfId="1" applyFont="1" applyFill="1" applyBorder="1" applyAlignment="1">
      <alignment horizontal="left" vertical="center" wrapText="1"/>
    </xf>
    <xf numFmtId="4" fontId="12" fillId="3" borderId="4" xfId="1" applyNumberFormat="1" applyFont="1" applyFill="1" applyBorder="1" applyAlignment="1">
      <alignment vertical="center"/>
    </xf>
    <xf numFmtId="3" fontId="12" fillId="3" borderId="4" xfId="4" applyNumberFormat="1" applyFont="1" applyFill="1" applyBorder="1" applyAlignment="1" applyProtection="1">
      <alignment horizontal="right" vertical="center"/>
    </xf>
    <xf numFmtId="0" fontId="12" fillId="3" borderId="7" xfId="3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0" fontId="12" fillId="11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2" fillId="0" borderId="0" xfId="4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23" fillId="0" borderId="0" xfId="0" applyFont="1"/>
    <xf numFmtId="3" fontId="12" fillId="0" borderId="0" xfId="0" applyNumberFormat="1" applyFont="1"/>
    <xf numFmtId="49" fontId="24" fillId="0" borderId="4" xfId="5" applyNumberFormat="1" applyFont="1" applyFill="1" applyBorder="1" applyAlignment="1">
      <alignment horizontal="center" vertical="center" wrapText="1"/>
    </xf>
    <xf numFmtId="0" fontId="24" fillId="0" borderId="4" xfId="4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3" fontId="12" fillId="0" borderId="4" xfId="0" applyNumberFormat="1" applyFont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7" xfId="3" applyFont="1" applyFill="1" applyBorder="1" applyAlignment="1">
      <alignment horizontal="left" vertical="center" wrapText="1"/>
    </xf>
    <xf numFmtId="0" fontId="12" fillId="8" borderId="4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4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" fontId="1" fillId="0" borderId="3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/>
    </xf>
    <xf numFmtId="49" fontId="26" fillId="9" borderId="1" xfId="0" applyNumberFormat="1" applyFont="1" applyFill="1" applyBorder="1" applyAlignment="1">
      <alignment horizontal="center" vertical="center" textRotation="90" wrapText="1"/>
    </xf>
    <xf numFmtId="49" fontId="26" fillId="9" borderId="4" xfId="0" applyNumberFormat="1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1" fillId="0" borderId="0" xfId="0" applyFont="1"/>
    <xf numFmtId="0" fontId="7" fillId="0" borderId="0" xfId="0" applyFont="1"/>
    <xf numFmtId="0" fontId="12" fillId="0" borderId="0" xfId="0" applyFont="1" applyFill="1" applyBorder="1" applyAlignment="1">
      <alignment horizontal="center"/>
    </xf>
    <xf numFmtId="0" fontId="5" fillId="0" borderId="0" xfId="0" applyFont="1"/>
    <xf numFmtId="0" fontId="28" fillId="0" borderId="0" xfId="0" applyFont="1" applyFill="1" applyBorder="1" applyAlignment="1">
      <alignment horizontal="left"/>
    </xf>
    <xf numFmtId="4" fontId="12" fillId="0" borderId="0" xfId="0" applyNumberFormat="1" applyFont="1" applyFill="1" applyBorder="1"/>
    <xf numFmtId="4" fontId="5" fillId="0" borderId="0" xfId="0" applyNumberFormat="1" applyFont="1" applyFill="1" applyBorder="1"/>
    <xf numFmtId="4" fontId="21" fillId="0" borderId="0" xfId="0" applyNumberFormat="1" applyFont="1"/>
    <xf numFmtId="0" fontId="6" fillId="0" borderId="0" xfId="0" applyFo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4" fillId="0" borderId="0" xfId="0" applyFont="1"/>
    <xf numFmtId="4" fontId="5" fillId="0" borderId="0" xfId="0" applyNumberFormat="1" applyFont="1" applyAlignment="1">
      <alignment vertical="center"/>
    </xf>
    <xf numFmtId="0" fontId="28" fillId="3" borderId="0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2" fillId="0" borderId="0" xfId="0" applyFont="1"/>
    <xf numFmtId="0" fontId="1" fillId="0" borderId="0" xfId="0" applyFont="1"/>
    <xf numFmtId="4" fontId="5" fillId="0" borderId="0" xfId="0" applyNumberFormat="1" applyFont="1"/>
    <xf numFmtId="0" fontId="4" fillId="0" borderId="0" xfId="0" applyFont="1"/>
    <xf numFmtId="0" fontId="1" fillId="0" borderId="0" xfId="0" applyFont="1" applyFill="1"/>
    <xf numFmtId="0" fontId="30" fillId="0" borderId="0" xfId="0" applyFont="1"/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4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0" xfId="0" applyFont="1"/>
    <xf numFmtId="0" fontId="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7" fillId="3" borderId="0" xfId="0" applyFont="1" applyFill="1"/>
    <xf numFmtId="0" fontId="7" fillId="0" borderId="0" xfId="0" applyFont="1" applyFill="1"/>
    <xf numFmtId="4" fontId="8" fillId="0" borderId="0" xfId="0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" fontId="8" fillId="0" borderId="4" xfId="0" applyNumberFormat="1" applyFont="1" applyFill="1" applyBorder="1" applyAlignment="1">
      <alignment vertical="center"/>
    </xf>
    <xf numFmtId="4" fontId="1" fillId="0" borderId="0" xfId="0" applyNumberFormat="1" applyFont="1" applyFill="1"/>
    <xf numFmtId="0" fontId="12" fillId="3" borderId="5" xfId="0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4" fontId="2" fillId="0" borderId="0" xfId="0" applyNumberFormat="1" applyFont="1" applyFill="1"/>
    <xf numFmtId="0" fontId="2" fillId="0" borderId="0" xfId="0" applyFont="1" applyFill="1"/>
    <xf numFmtId="0" fontId="33" fillId="0" borderId="0" xfId="0" applyFont="1" applyFill="1"/>
    <xf numFmtId="0" fontId="35" fillId="0" borderId="0" xfId="0" applyFont="1"/>
    <xf numFmtId="0" fontId="2" fillId="9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1" fillId="0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4" fontId="1" fillId="0" borderId="4" xfId="1" applyNumberFormat="1" applyFont="1" applyFill="1" applyBorder="1" applyAlignment="1">
      <alignment vertical="center"/>
    </xf>
    <xf numFmtId="0" fontId="3" fillId="1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" fontId="1" fillId="0" borderId="14" xfId="2" applyNumberFormat="1" applyFont="1" applyFill="1" applyBorder="1" applyAlignment="1">
      <alignment vertical="center"/>
    </xf>
    <xf numFmtId="0" fontId="3" fillId="1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4" xfId="2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14" fillId="0" borderId="3" xfId="1" applyNumberFormat="1" applyFont="1" applyFill="1" applyBorder="1" applyAlignment="1">
      <alignment vertical="center"/>
    </xf>
    <xf numFmtId="4" fontId="14" fillId="0" borderId="8" xfId="1" applyNumberFormat="1" applyFont="1" applyFill="1" applyBorder="1" applyAlignment="1">
      <alignment vertical="center"/>
    </xf>
    <xf numFmtId="0" fontId="14" fillId="0" borderId="4" xfId="1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4" fontId="8" fillId="0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vertical="center"/>
    </xf>
    <xf numFmtId="4" fontId="5" fillId="0" borderId="1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2" fillId="0" borderId="4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1" fillId="0" borderId="4" xfId="2" applyNumberFormat="1" applyFont="1" applyFill="1" applyBorder="1" applyAlignment="1">
      <alignment horizontal="center" vertical="center"/>
    </xf>
    <xf numFmtId="4" fontId="8" fillId="0" borderId="4" xfId="2" applyNumberFormat="1" applyFont="1" applyFill="1" applyBorder="1" applyAlignment="1">
      <alignment vertical="center"/>
    </xf>
    <xf numFmtId="4" fontId="2" fillId="0" borderId="3" xfId="2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4" fontId="2" fillId="0" borderId="1" xfId="2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" fontId="8" fillId="0" borderId="0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1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1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left" vertical="center"/>
    </xf>
    <xf numFmtId="0" fontId="3" fillId="10" borderId="6" xfId="2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10" borderId="2" xfId="0" applyFont="1" applyFill="1" applyBorder="1" applyAlignment="1">
      <alignment horizontal="left" vertical="center"/>
    </xf>
    <xf numFmtId="0" fontId="7" fillId="0" borderId="4" xfId="0" applyFont="1" applyBorder="1"/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3" fillId="3" borderId="4" xfId="0" applyFont="1" applyFill="1" applyBorder="1"/>
    <xf numFmtId="0" fontId="33" fillId="0" borderId="4" xfId="0" applyFont="1" applyBorder="1"/>
    <xf numFmtId="49" fontId="8" fillId="0" borderId="4" xfId="0" applyNumberFormat="1" applyFont="1" applyBorder="1" applyAlignment="1">
      <alignment horizontal="center" vertical="center"/>
    </xf>
    <xf numFmtId="0" fontId="34" fillId="0" borderId="4" xfId="0" applyFont="1" applyBorder="1"/>
    <xf numFmtId="49" fontId="5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4" fillId="0" borderId="4" xfId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0" fontId="33" fillId="0" borderId="4" xfId="0" applyFont="1" applyFill="1" applyBorder="1"/>
    <xf numFmtId="4" fontId="2" fillId="0" borderId="1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2" fillId="0" borderId="12" xfId="2" applyNumberFormat="1" applyFont="1" applyFill="1" applyBorder="1" applyAlignment="1">
      <alignment vertical="center"/>
    </xf>
    <xf numFmtId="0" fontId="1" fillId="13" borderId="4" xfId="0" applyFont="1" applyFill="1" applyBorder="1" applyAlignment="1">
      <alignment horizontal="center" vertical="center"/>
    </xf>
    <xf numFmtId="49" fontId="1" fillId="13" borderId="4" xfId="0" applyNumberFormat="1" applyFont="1" applyFill="1" applyBorder="1" applyAlignment="1">
      <alignment horizontal="center" vertical="center"/>
    </xf>
    <xf numFmtId="4" fontId="2" fillId="13" borderId="8" xfId="0" applyNumberFormat="1" applyFont="1" applyFill="1" applyBorder="1" applyAlignment="1">
      <alignment vertical="center"/>
    </xf>
    <xf numFmtId="0" fontId="5" fillId="14" borderId="4" xfId="0" applyFont="1" applyFill="1" applyBorder="1" applyAlignment="1">
      <alignment horizontal="center" vertical="center"/>
    </xf>
    <xf numFmtId="0" fontId="11" fillId="14" borderId="6" xfId="0" applyFont="1" applyFill="1" applyBorder="1" applyAlignment="1">
      <alignment vertical="center"/>
    </xf>
    <xf numFmtId="0" fontId="1" fillId="14" borderId="4" xfId="0" applyFont="1" applyFill="1" applyBorder="1" applyAlignment="1">
      <alignment horizontal="center" vertical="center"/>
    </xf>
    <xf numFmtId="49" fontId="1" fillId="14" borderId="4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30" fillId="0" borderId="4" xfId="0" applyNumberFormat="1" applyFont="1" applyFill="1" applyBorder="1" applyAlignment="1">
      <alignment horizontal="right" vertical="center"/>
    </xf>
    <xf numFmtId="4" fontId="27" fillId="0" borderId="6" xfId="0" applyNumberFormat="1" applyFont="1" applyFill="1" applyBorder="1" applyAlignment="1">
      <alignment vertical="center"/>
    </xf>
    <xf numFmtId="4" fontId="27" fillId="0" borderId="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5" fillId="0" borderId="4" xfId="5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" fontId="1" fillId="0" borderId="4" xfId="5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4" fontId="14" fillId="0" borderId="3" xfId="2" applyNumberFormat="1" applyFont="1" applyFill="1" applyBorder="1" applyAlignment="1">
      <alignment vertical="center"/>
    </xf>
    <xf numFmtId="4" fontId="14" fillId="0" borderId="8" xfId="2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vertical="center"/>
    </xf>
    <xf numFmtId="4" fontId="1" fillId="0" borderId="1" xfId="2" applyNumberFormat="1" applyFont="1" applyFill="1" applyBorder="1" applyAlignment="1">
      <alignment vertical="center"/>
    </xf>
    <xf numFmtId="4" fontId="1" fillId="0" borderId="3" xfId="2" applyNumberFormat="1" applyFont="1" applyFill="1" applyBorder="1" applyAlignment="1">
      <alignment vertical="center"/>
    </xf>
    <xf numFmtId="0" fontId="1" fillId="0" borderId="4" xfId="0" applyFont="1" applyFill="1" applyBorder="1"/>
    <xf numFmtId="4" fontId="2" fillId="0" borderId="4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14" borderId="4" xfId="0" applyFont="1" applyFill="1" applyBorder="1" applyAlignment="1">
      <alignment horizontal="center" vertical="center"/>
    </xf>
    <xf numFmtId="0" fontId="3" fillId="14" borderId="1" xfId="3" applyFont="1" applyFill="1" applyBorder="1" applyAlignment="1">
      <alignment horizontal="left" vertical="center"/>
    </xf>
    <xf numFmtId="49" fontId="2" fillId="14" borderId="4" xfId="0" applyNumberFormat="1" applyFont="1" applyFill="1" applyBorder="1" applyAlignment="1">
      <alignment horizontal="center" vertical="center"/>
    </xf>
    <xf numFmtId="0" fontId="3" fillId="14" borderId="3" xfId="3" applyFont="1" applyFill="1" applyBorder="1" applyAlignment="1">
      <alignment horizontal="left" vertical="center"/>
    </xf>
    <xf numFmtId="0" fontId="3" fillId="14" borderId="3" xfId="3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left" vertical="center"/>
    </xf>
    <xf numFmtId="4" fontId="1" fillId="13" borderId="3" xfId="0" applyNumberFormat="1" applyFont="1" applyFill="1" applyBorder="1" applyAlignment="1">
      <alignment vertical="center"/>
    </xf>
    <xf numFmtId="0" fontId="3" fillId="13" borderId="2" xfId="0" applyFont="1" applyFill="1" applyBorder="1" applyAlignment="1">
      <alignment horizontal="left" vertical="center"/>
    </xf>
    <xf numFmtId="4" fontId="1" fillId="13" borderId="2" xfId="0" applyNumberFormat="1" applyFont="1" applyFill="1" applyBorder="1" applyAlignment="1">
      <alignment vertical="center"/>
    </xf>
    <xf numFmtId="4" fontId="2" fillId="13" borderId="10" xfId="0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horizontal="left" vertical="center" wrapText="1"/>
    </xf>
    <xf numFmtId="4" fontId="1" fillId="13" borderId="10" xfId="0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4" borderId="3" xfId="0" applyFont="1" applyFill="1" applyBorder="1" applyAlignment="1">
      <alignment vertical="center" wrapText="1"/>
    </xf>
    <xf numFmtId="0" fontId="28" fillId="14" borderId="4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left" vertical="center" wrapText="1"/>
    </xf>
    <xf numFmtId="0" fontId="7" fillId="14" borderId="4" xfId="0" applyFont="1" applyFill="1" applyBorder="1" applyAlignment="1">
      <alignment horizontal="center" vertical="center"/>
    </xf>
    <xf numFmtId="4" fontId="8" fillId="13" borderId="3" xfId="2" applyNumberFormat="1" applyFont="1" applyFill="1" applyBorder="1" applyAlignment="1">
      <alignment vertical="center"/>
    </xf>
    <xf numFmtId="4" fontId="8" fillId="13" borderId="3" xfId="1" applyNumberFormat="1" applyFont="1" applyFill="1" applyBorder="1" applyAlignment="1">
      <alignment vertical="center"/>
    </xf>
    <xf numFmtId="4" fontId="5" fillId="13" borderId="8" xfId="0" applyNumberFormat="1" applyFont="1" applyFill="1" applyBorder="1" applyAlignment="1">
      <alignment vertical="center"/>
    </xf>
    <xf numFmtId="4" fontId="5" fillId="13" borderId="2" xfId="2" applyNumberFormat="1" applyFont="1" applyFill="1" applyBorder="1" applyAlignment="1">
      <alignment vertical="center"/>
    </xf>
    <xf numFmtId="4" fontId="5" fillId="13" borderId="2" xfId="1" applyNumberFormat="1" applyFont="1" applyFill="1" applyBorder="1" applyAlignment="1">
      <alignment vertical="center"/>
    </xf>
    <xf numFmtId="4" fontId="5" fillId="13" borderId="10" xfId="0" applyNumberFormat="1" applyFont="1" applyFill="1" applyBorder="1" applyAlignment="1">
      <alignment vertical="center"/>
    </xf>
    <xf numFmtId="0" fontId="7" fillId="14" borderId="4" xfId="0" applyFont="1" applyFill="1" applyBorder="1"/>
    <xf numFmtId="4" fontId="1" fillId="13" borderId="8" xfId="0" applyNumberFormat="1" applyFont="1" applyFill="1" applyBorder="1" applyAlignment="1">
      <alignment vertical="center"/>
    </xf>
    <xf numFmtId="0" fontId="3" fillId="13" borderId="7" xfId="0" applyFont="1" applyFill="1" applyBorder="1" applyAlignment="1">
      <alignment horizontal="left" vertical="center"/>
    </xf>
    <xf numFmtId="0" fontId="3" fillId="13" borderId="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34" fillId="0" borderId="0" xfId="0" applyFont="1"/>
    <xf numFmtId="0" fontId="35" fillId="0" borderId="12" xfId="3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13" borderId="4" xfId="0" applyNumberFormat="1" applyFont="1" applyFill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49" fontId="8" fillId="14" borderId="4" xfId="0" applyNumberFormat="1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0" fontId="34" fillId="14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3" fillId="14" borderId="4" xfId="2" applyNumberFormat="1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33" fillId="14" borderId="4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33" fillId="13" borderId="4" xfId="0" applyFont="1" applyFill="1" applyBorder="1"/>
    <xf numFmtId="0" fontId="8" fillId="0" borderId="4" xfId="0" applyFont="1" applyBorder="1" applyAlignment="1">
      <alignment horizontal="center"/>
    </xf>
    <xf numFmtId="0" fontId="33" fillId="0" borderId="4" xfId="0" applyFont="1" applyBorder="1" applyAlignment="1">
      <alignment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35" fillId="0" borderId="4" xfId="1" applyNumberFormat="1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30" fillId="9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34" fillId="14" borderId="4" xfId="0" applyFont="1" applyFill="1" applyBorder="1"/>
    <xf numFmtId="4" fontId="2" fillId="13" borderId="2" xfId="0" applyNumberFormat="1" applyFont="1" applyFill="1" applyBorder="1" applyAlignment="1">
      <alignment vertical="center"/>
    </xf>
    <xf numFmtId="0" fontId="14" fillId="14" borderId="4" xfId="1" applyFont="1" applyFill="1" applyBorder="1" applyAlignment="1">
      <alignment horizontal="center" vertical="center"/>
    </xf>
    <xf numFmtId="49" fontId="35" fillId="14" borderId="4" xfId="1" applyNumberFormat="1" applyFont="1" applyFill="1" applyBorder="1" applyAlignment="1">
      <alignment horizontal="center" vertical="center"/>
    </xf>
    <xf numFmtId="0" fontId="11" fillId="14" borderId="3" xfId="1" applyFont="1" applyFill="1" applyBorder="1" applyAlignment="1">
      <alignment horizontal="left" vertical="center" wrapText="1"/>
    </xf>
    <xf numFmtId="0" fontId="11" fillId="14" borderId="1" xfId="1" applyFont="1" applyFill="1" applyBorder="1" applyAlignment="1">
      <alignment horizontal="left" vertical="center" wrapText="1"/>
    </xf>
    <xf numFmtId="0" fontId="3" fillId="14" borderId="1" xfId="3" applyFont="1" applyFill="1" applyBorder="1" applyAlignment="1">
      <alignment horizontal="left" vertical="center" wrapText="1"/>
    </xf>
    <xf numFmtId="0" fontId="3" fillId="14" borderId="3" xfId="0" applyFont="1" applyFill="1" applyBorder="1" applyAlignment="1">
      <alignment horizontal="left" vertical="center"/>
    </xf>
    <xf numFmtId="0" fontId="8" fillId="13" borderId="4" xfId="0" applyFont="1" applyFill="1" applyBorder="1" applyAlignment="1">
      <alignment horizontal="center" vertical="center"/>
    </xf>
    <xf numFmtId="4" fontId="2" fillId="13" borderId="3" xfId="0" applyNumberFormat="1" applyFont="1" applyFill="1" applyBorder="1" applyAlignment="1">
      <alignment vertical="center"/>
    </xf>
    <xf numFmtId="0" fontId="4" fillId="14" borderId="4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vertical="center" wrapText="1"/>
    </xf>
    <xf numFmtId="0" fontId="36" fillId="14" borderId="4" xfId="0" applyFont="1" applyFill="1" applyBorder="1" applyAlignment="1">
      <alignment vertical="center"/>
    </xf>
    <xf numFmtId="0" fontId="11" fillId="14" borderId="1" xfId="3" applyFont="1" applyFill="1" applyBorder="1" applyAlignment="1">
      <alignment horizontal="left" vertical="center" wrapText="1"/>
    </xf>
    <xf numFmtId="49" fontId="25" fillId="9" borderId="6" xfId="0" applyNumberFormat="1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2" xfId="0" applyFont="1" applyBorder="1"/>
    <xf numFmtId="0" fontId="1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/>
    <xf numFmtId="0" fontId="33" fillId="0" borderId="12" xfId="0" applyFont="1" applyBorder="1"/>
    <xf numFmtId="49" fontId="3" fillId="0" borderId="12" xfId="0" applyNumberFormat="1" applyFont="1" applyFill="1" applyBorder="1" applyAlignment="1">
      <alignment horizontal="center" vertical="center"/>
    </xf>
    <xf numFmtId="0" fontId="34" fillId="0" borderId="12" xfId="0" applyFont="1" applyBorder="1"/>
    <xf numFmtId="0" fontId="33" fillId="3" borderId="12" xfId="0" applyFont="1" applyFill="1" applyBorder="1"/>
    <xf numFmtId="0" fontId="7" fillId="0" borderId="12" xfId="0" applyFont="1" applyFill="1" applyBorder="1"/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6" fillId="0" borderId="2" xfId="0" applyFont="1" applyBorder="1" applyAlignment="1">
      <alignment horizontal="center" vertical="center"/>
    </xf>
    <xf numFmtId="0" fontId="3" fillId="9" borderId="6" xfId="0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7" fillId="9" borderId="6" xfId="0" applyFont="1" applyFill="1" applyBorder="1" applyAlignment="1">
      <alignment horizontal="left" vertical="center"/>
    </xf>
    <xf numFmtId="49" fontId="25" fillId="9" borderId="14" xfId="0" applyNumberFormat="1" applyFont="1" applyFill="1" applyBorder="1" applyAlignment="1">
      <alignment horizontal="center" vertical="center" textRotation="90"/>
    </xf>
    <xf numFmtId="49" fontId="26" fillId="9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/>
    <xf numFmtId="0" fontId="2" fillId="9" borderId="14" xfId="0" applyFont="1" applyFill="1" applyBorder="1" applyAlignment="1">
      <alignment vertical="center"/>
    </xf>
    <xf numFmtId="4" fontId="2" fillId="9" borderId="1" xfId="0" applyNumberFormat="1" applyFont="1" applyFill="1" applyBorder="1" applyAlignment="1">
      <alignment vertical="center"/>
    </xf>
    <xf numFmtId="4" fontId="2" fillId="9" borderId="6" xfId="0" applyNumberFormat="1" applyFont="1" applyFill="1" applyBorder="1" applyAlignment="1">
      <alignment vertical="center"/>
    </xf>
    <xf numFmtId="4" fontId="26" fillId="9" borderId="4" xfId="0" applyNumberFormat="1" applyFont="1" applyFill="1" applyBorder="1" applyAlignment="1">
      <alignment horizontal="center" vertical="center" textRotation="90"/>
    </xf>
    <xf numFmtId="4" fontId="26" fillId="9" borderId="4" xfId="0" applyNumberFormat="1" applyFont="1" applyFill="1" applyBorder="1" applyAlignment="1">
      <alignment horizontal="center" vertical="center" textRotation="90" wrapText="1"/>
    </xf>
    <xf numFmtId="0" fontId="26" fillId="9" borderId="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4" fontId="26" fillId="9" borderId="1" xfId="0" applyNumberFormat="1" applyFont="1" applyFill="1" applyBorder="1" applyAlignment="1">
      <alignment horizontal="center" vertical="center" textRotation="90" wrapText="1"/>
    </xf>
    <xf numFmtId="0" fontId="26" fillId="9" borderId="4" xfId="0" applyFont="1" applyFill="1" applyBorder="1" applyAlignment="1">
      <alignment horizontal="center" vertical="center" textRotation="90" wrapText="1"/>
    </xf>
    <xf numFmtId="49" fontId="25" fillId="9" borderId="14" xfId="0" applyNumberFormat="1" applyFont="1" applyFill="1" applyBorder="1" applyAlignment="1">
      <alignment vertical="center"/>
    </xf>
    <xf numFmtId="4" fontId="26" fillId="9" borderId="14" xfId="0" applyNumberFormat="1" applyFont="1" applyFill="1" applyBorder="1" applyAlignment="1">
      <alignment horizontal="center" vertical="center" textRotation="90"/>
    </xf>
    <xf numFmtId="4" fontId="26" fillId="9" borderId="14" xfId="0" applyNumberFormat="1" applyFont="1" applyFill="1" applyBorder="1" applyAlignment="1">
      <alignment horizontal="center" vertical="center" textRotation="90" wrapText="1"/>
    </xf>
    <xf numFmtId="0" fontId="26" fillId="9" borderId="14" xfId="0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5" fillId="9" borderId="6" xfId="0" applyNumberFormat="1" applyFont="1" applyFill="1" applyBorder="1" applyAlignment="1">
      <alignment horizontal="center" vertical="center" textRotation="90" wrapText="1"/>
    </xf>
    <xf numFmtId="49" fontId="25" fillId="9" borderId="6" xfId="0" applyNumberFormat="1" applyFont="1" applyFill="1" applyBorder="1" applyAlignment="1">
      <alignment horizontal="left" vertical="center" textRotation="90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13" borderId="15" xfId="0" applyNumberFormat="1" applyFont="1" applyFill="1" applyBorder="1" applyAlignment="1">
      <alignment horizontal="center" vertical="center"/>
    </xf>
    <xf numFmtId="49" fontId="1" fillId="14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13" borderId="15" xfId="0" applyFont="1" applyFill="1" applyBorder="1"/>
    <xf numFmtId="0" fontId="7" fillId="0" borderId="15" xfId="0" applyFont="1" applyBorder="1"/>
    <xf numFmtId="0" fontId="7" fillId="3" borderId="15" xfId="0" applyFont="1" applyFill="1" applyBorder="1"/>
    <xf numFmtId="0" fontId="7" fillId="0" borderId="15" xfId="0" applyFont="1" applyFill="1" applyBorder="1"/>
    <xf numFmtId="0" fontId="37" fillId="0" borderId="0" xfId="0" applyFont="1"/>
    <xf numFmtId="4" fontId="5" fillId="0" borderId="0" xfId="0" applyNumberFormat="1" applyFont="1" applyAlignment="1">
      <alignment horizontal="center"/>
    </xf>
    <xf numFmtId="0" fontId="31" fillId="0" borderId="0" xfId="0" applyFont="1"/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8" fillId="0" borderId="0" xfId="0" applyFont="1"/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49" fontId="4" fillId="12" borderId="12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49" fontId="2" fillId="12" borderId="0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left" vertical="center"/>
    </xf>
    <xf numFmtId="4" fontId="2" fillId="12" borderId="1" xfId="0" applyNumberFormat="1" applyFont="1" applyFill="1" applyBorder="1" applyAlignment="1">
      <alignment horizontal="right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13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49" fontId="2" fillId="13" borderId="0" xfId="0" applyNumberFormat="1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12" borderId="12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49" fontId="8" fillId="12" borderId="12" xfId="0" applyNumberFormat="1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49" fontId="8" fillId="12" borderId="4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4" fontId="8" fillId="12" borderId="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5" fillId="13" borderId="4" xfId="0" applyFont="1" applyFill="1" applyBorder="1" applyAlignment="1">
      <alignment horizontal="center" vertical="center"/>
    </xf>
    <xf numFmtId="49" fontId="8" fillId="13" borderId="4" xfId="0" applyNumberFormat="1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left" vertical="center"/>
    </xf>
    <xf numFmtId="4" fontId="8" fillId="13" borderId="3" xfId="0" applyNumberFormat="1" applyFont="1" applyFill="1" applyBorder="1" applyAlignment="1">
      <alignment vertical="center"/>
    </xf>
    <xf numFmtId="4" fontId="8" fillId="13" borderId="8" xfId="0" applyNumberFormat="1" applyFont="1" applyFill="1" applyBorder="1" applyAlignment="1">
      <alignment vertical="center"/>
    </xf>
    <xf numFmtId="0" fontId="8" fillId="13" borderId="4" xfId="0" applyFont="1" applyFill="1" applyBorder="1" applyAlignment="1">
      <alignment vertical="center"/>
    </xf>
    <xf numFmtId="0" fontId="11" fillId="13" borderId="2" xfId="0" applyFont="1" applyFill="1" applyBorder="1" applyAlignment="1">
      <alignment horizontal="left" vertical="center"/>
    </xf>
    <xf numFmtId="4" fontId="5" fillId="13" borderId="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4" fontId="8" fillId="12" borderId="6" xfId="0" applyNumberFormat="1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" fontId="30" fillId="0" borderId="0" xfId="0" applyNumberFormat="1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vertical="center"/>
    </xf>
    <xf numFmtId="0" fontId="1" fillId="12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49" fontId="2" fillId="12" borderId="4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4" fontId="2" fillId="12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9" fillId="0" borderId="12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12" borderId="4" xfId="0" applyFont="1" applyFill="1" applyBorder="1" applyAlignment="1">
      <alignment horizontal="center" vertical="center"/>
    </xf>
    <xf numFmtId="0" fontId="7" fillId="12" borderId="0" xfId="0" applyFont="1" applyFill="1"/>
    <xf numFmtId="0" fontId="11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4" fontId="1" fillId="0" borderId="12" xfId="2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/>
    </xf>
    <xf numFmtId="4" fontId="8" fillId="13" borderId="2" xfId="0" applyNumberFormat="1" applyFont="1" applyFill="1" applyBorder="1" applyAlignment="1">
      <alignment vertical="center"/>
    </xf>
    <xf numFmtId="4" fontId="8" fillId="13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vertical="center"/>
    </xf>
    <xf numFmtId="4" fontId="5" fillId="13" borderId="3" xfId="0" applyNumberFormat="1" applyFont="1" applyFill="1" applyBorder="1" applyAlignment="1">
      <alignment vertical="center"/>
    </xf>
    <xf numFmtId="0" fontId="3" fillId="15" borderId="6" xfId="0" applyFont="1" applyFill="1" applyBorder="1" applyAlignment="1">
      <alignment horizontal="left" vertical="center"/>
    </xf>
    <xf numFmtId="4" fontId="2" fillId="15" borderId="4" xfId="2" applyNumberFormat="1" applyFont="1" applyFill="1" applyBorder="1" applyAlignment="1">
      <alignment vertical="center"/>
    </xf>
    <xf numFmtId="4" fontId="2" fillId="12" borderId="6" xfId="0" applyNumberFormat="1" applyFont="1" applyFill="1" applyBorder="1" applyAlignment="1">
      <alignment vertical="center"/>
    </xf>
    <xf numFmtId="0" fontId="3" fillId="13" borderId="2" xfId="0" applyFont="1" applyFill="1" applyBorder="1" applyAlignment="1">
      <alignment horizontal="left" vertical="center" wrapText="1"/>
    </xf>
    <xf numFmtId="4" fontId="2" fillId="0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vertical="center"/>
    </xf>
    <xf numFmtId="0" fontId="14" fillId="3" borderId="12" xfId="1" applyFont="1" applyFill="1" applyBorder="1" applyAlignment="1">
      <alignment horizontal="center" vertical="center"/>
    </xf>
    <xf numFmtId="49" fontId="3" fillId="13" borderId="4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49" fontId="1" fillId="13" borderId="15" xfId="1" applyNumberFormat="1" applyFont="1" applyFill="1" applyBorder="1" applyAlignment="1">
      <alignment horizontal="center" vertical="center"/>
    </xf>
    <xf numFmtId="0" fontId="4" fillId="13" borderId="4" xfId="1" applyFont="1" applyFill="1" applyBorder="1" applyAlignment="1">
      <alignment horizontal="center" vertical="center"/>
    </xf>
    <xf numFmtId="0" fontId="3" fillId="13" borderId="2" xfId="1" applyFont="1" applyFill="1" applyBorder="1" applyAlignment="1">
      <alignment horizontal="left" vertical="center"/>
    </xf>
    <xf numFmtId="4" fontId="4" fillId="13" borderId="2" xfId="1" applyNumberFormat="1" applyFont="1" applyFill="1" applyBorder="1" applyAlignment="1">
      <alignment vertical="center"/>
    </xf>
    <xf numFmtId="4" fontId="4" fillId="13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49" fontId="1" fillId="3" borderId="15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12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4" fontId="3" fillId="0" borderId="0" xfId="1" applyNumberFormat="1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4" fontId="1" fillId="12" borderId="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left" vertical="center"/>
    </xf>
    <xf numFmtId="4" fontId="1" fillId="13" borderId="1" xfId="0" applyNumberFormat="1" applyFont="1" applyFill="1" applyBorder="1" applyAlignment="1">
      <alignment vertical="center"/>
    </xf>
    <xf numFmtId="4" fontId="2" fillId="13" borderId="6" xfId="0" applyNumberFormat="1" applyFont="1" applyFill="1" applyBorder="1" applyAlignment="1">
      <alignment vertical="center"/>
    </xf>
    <xf numFmtId="0" fontId="5" fillId="13" borderId="8" xfId="0" applyFont="1" applyFill="1" applyBorder="1" applyAlignment="1">
      <alignment vertical="center"/>
    </xf>
    <xf numFmtId="4" fontId="1" fillId="0" borderId="4" xfId="0" applyNumberFormat="1" applyFont="1" applyFill="1" applyBorder="1"/>
    <xf numFmtId="0" fontId="4" fillId="0" borderId="2" xfId="0" applyFont="1" applyBorder="1" applyAlignment="1">
      <alignment horizontal="left" vertical="center"/>
    </xf>
    <xf numFmtId="4" fontId="2" fillId="0" borderId="2" xfId="2" applyNumberFormat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vertical="center"/>
    </xf>
    <xf numFmtId="4" fontId="5" fillId="13" borderId="3" xfId="2" applyNumberFormat="1" applyFont="1" applyFill="1" applyBorder="1" applyAlignment="1">
      <alignment vertical="center"/>
    </xf>
    <xf numFmtId="4" fontId="5" fillId="13" borderId="3" xfId="1" applyNumberFormat="1" applyFont="1" applyFill="1" applyBorder="1" applyAlignment="1">
      <alignment vertical="center"/>
    </xf>
    <xf numFmtId="4" fontId="8" fillId="0" borderId="12" xfId="1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4" fontId="8" fillId="12" borderId="2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5" fillId="12" borderId="12" xfId="3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3" fillId="13" borderId="8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vertical="center"/>
    </xf>
    <xf numFmtId="0" fontId="8" fillId="12" borderId="4" xfId="0" applyFont="1" applyFill="1" applyBorder="1" applyAlignment="1">
      <alignment horizontal="center" vertical="center"/>
    </xf>
    <xf numFmtId="0" fontId="34" fillId="13" borderId="4" xfId="0" applyFont="1" applyFill="1" applyBorder="1"/>
    <xf numFmtId="0" fontId="2" fillId="14" borderId="4" xfId="2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3" borderId="0" xfId="1" applyFont="1" applyFill="1" applyBorder="1" applyAlignment="1">
      <alignment horizontal="left"/>
    </xf>
    <xf numFmtId="49" fontId="26" fillId="9" borderId="10" xfId="0" applyNumberFormat="1" applyFont="1" applyFill="1" applyBorder="1" applyAlignment="1">
      <alignment horizontal="center" vertical="center" textRotation="90"/>
    </xf>
    <xf numFmtId="0" fontId="2" fillId="0" borderId="4" xfId="0" applyFont="1" applyBorder="1"/>
    <xf numFmtId="0" fontId="2" fillId="13" borderId="4" xfId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6" fillId="14" borderId="4" xfId="1" applyFont="1" applyFill="1" applyBorder="1" applyAlignment="1">
      <alignment horizontal="center" vertical="center"/>
    </xf>
    <xf numFmtId="0" fontId="2" fillId="14" borderId="4" xfId="0" applyFont="1" applyFill="1" applyBorder="1"/>
    <xf numFmtId="0" fontId="2" fillId="0" borderId="4" xfId="0" applyFont="1" applyFill="1" applyBorder="1"/>
    <xf numFmtId="0" fontId="20" fillId="0" borderId="0" xfId="0" applyFont="1"/>
    <xf numFmtId="0" fontId="41" fillId="0" borderId="0" xfId="0" applyFont="1"/>
    <xf numFmtId="4" fontId="12" fillId="0" borderId="0" xfId="0" applyNumberFormat="1" applyFont="1"/>
    <xf numFmtId="0" fontId="2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28" fillId="0" borderId="0" xfId="0" applyNumberFormat="1" applyFont="1"/>
    <xf numFmtId="0" fontId="40" fillId="0" borderId="0" xfId="0" applyFont="1"/>
    <xf numFmtId="0" fontId="42" fillId="0" borderId="0" xfId="0" applyFont="1"/>
    <xf numFmtId="0" fontId="43" fillId="0" borderId="0" xfId="0" applyFont="1"/>
    <xf numFmtId="0" fontId="3" fillId="0" borderId="0" xfId="0" applyFont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3" fontId="12" fillId="0" borderId="0" xfId="4" applyNumberFormat="1" applyFont="1" applyFill="1" applyBorder="1" applyAlignment="1" applyProtection="1">
      <alignment horizontal="right" vertical="center"/>
    </xf>
    <xf numFmtId="49" fontId="25" fillId="9" borderId="1" xfId="0" applyNumberFormat="1" applyFont="1" applyFill="1" applyBorder="1" applyAlignment="1">
      <alignment horizontal="center" vertical="center" textRotation="90" wrapText="1"/>
    </xf>
    <xf numFmtId="49" fontId="15" fillId="0" borderId="15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4" fontId="22" fillId="0" borderId="0" xfId="2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left" vertical="center" wrapText="1"/>
    </xf>
    <xf numFmtId="0" fontId="12" fillId="0" borderId="5" xfId="3" applyFont="1" applyFill="1" applyBorder="1" applyAlignment="1">
      <alignment horizontal="left" vertical="center" wrapText="1"/>
    </xf>
    <xf numFmtId="0" fontId="3" fillId="14" borderId="3" xfId="2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15" borderId="6" xfId="0" applyFont="1" applyFill="1" applyBorder="1" applyAlignment="1">
      <alignment horizontal="left" vertical="center"/>
    </xf>
    <xf numFmtId="4" fontId="8" fillId="15" borderId="4" xfId="0" applyNumberFormat="1" applyFont="1" applyFill="1" applyBorder="1" applyAlignment="1">
      <alignment vertical="center"/>
    </xf>
    <xf numFmtId="4" fontId="2" fillId="15" borderId="4" xfId="0" applyNumberFormat="1" applyFont="1" applyFill="1" applyBorder="1" applyAlignment="1">
      <alignment vertical="center"/>
    </xf>
    <xf numFmtId="0" fontId="12" fillId="3" borderId="4" xfId="3" applyFont="1" applyFill="1" applyBorder="1" applyAlignment="1">
      <alignment horizontal="left" vertical="center" wrapText="1"/>
    </xf>
    <xf numFmtId="0" fontId="3" fillId="14" borderId="4" xfId="0" applyFont="1" applyFill="1" applyBorder="1" applyAlignment="1">
      <alignment horizontal="left" vertical="center"/>
    </xf>
    <xf numFmtId="0" fontId="3" fillId="14" borderId="4" xfId="0" applyFont="1" applyFill="1" applyBorder="1" applyAlignment="1">
      <alignment horizontal="left" vertical="center" wrapText="1"/>
    </xf>
    <xf numFmtId="0" fontId="3" fillId="14" borderId="4" xfId="3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9" fontId="2" fillId="14" borderId="5" xfId="0" applyNumberFormat="1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vertical="center" wrapText="1"/>
    </xf>
    <xf numFmtId="0" fontId="2" fillId="16" borderId="4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49" fontId="2" fillId="16" borderId="4" xfId="0" applyNumberFormat="1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vertical="center" wrapText="1"/>
    </xf>
    <xf numFmtId="4" fontId="2" fillId="16" borderId="4" xfId="0" applyNumberFormat="1" applyFont="1" applyFill="1" applyBorder="1" applyAlignment="1">
      <alignment vertical="center"/>
    </xf>
    <xf numFmtId="4" fontId="1" fillId="16" borderId="4" xfId="0" applyNumberFormat="1" applyFont="1" applyFill="1" applyBorder="1" applyAlignment="1">
      <alignment vertical="center"/>
    </xf>
    <xf numFmtId="0" fontId="12" fillId="16" borderId="4" xfId="0" applyFont="1" applyFill="1" applyBorder="1" applyAlignment="1">
      <alignment vertical="center" wrapText="1"/>
    </xf>
    <xf numFmtId="4" fontId="5" fillId="16" borderId="4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0" fontId="12" fillId="16" borderId="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0" fontId="12" fillId="16" borderId="4" xfId="0" applyFont="1" applyFill="1" applyBorder="1" applyAlignment="1">
      <alignment horizontal="left" vertical="center" wrapText="1"/>
    </xf>
    <xf numFmtId="0" fontId="8" fillId="16" borderId="4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left" vertical="center"/>
    </xf>
    <xf numFmtId="0" fontId="3" fillId="16" borderId="1" xfId="0" applyFont="1" applyFill="1" applyBorder="1" applyAlignment="1">
      <alignment vertical="center" wrapText="1"/>
    </xf>
    <xf numFmtId="4" fontId="1" fillId="16" borderId="1" xfId="0" applyNumberFormat="1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14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1" fillId="16" borderId="4" xfId="0" applyNumberFormat="1" applyFont="1" applyFill="1" applyBorder="1" applyAlignment="1">
      <alignment vertical="center" wrapText="1"/>
    </xf>
    <xf numFmtId="0" fontId="1" fillId="16" borderId="4" xfId="0" applyFont="1" applyFill="1" applyBorder="1" applyAlignment="1">
      <alignment vertical="center" wrapText="1"/>
    </xf>
    <xf numFmtId="49" fontId="11" fillId="8" borderId="4" xfId="0" applyNumberFormat="1" applyFont="1" applyFill="1" applyBorder="1" applyAlignment="1">
      <alignment horizontal="left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left" vertical="center"/>
    </xf>
    <xf numFmtId="0" fontId="2" fillId="0" borderId="0" xfId="0" applyFont="1"/>
    <xf numFmtId="0" fontId="36" fillId="0" borderId="0" xfId="0" applyFont="1"/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0" xfId="0" applyFont="1" applyFill="1"/>
    <xf numFmtId="4" fontId="1" fillId="0" borderId="0" xfId="0" applyNumberFormat="1" applyFont="1"/>
    <xf numFmtId="0" fontId="1" fillId="3" borderId="0" xfId="0" applyFont="1" applyFill="1" applyAlignment="1">
      <alignment vertical="center"/>
    </xf>
    <xf numFmtId="4" fontId="2" fillId="0" borderId="0" xfId="0" applyNumberFormat="1" applyFont="1"/>
    <xf numFmtId="0" fontId="8" fillId="0" borderId="0" xfId="0" applyFont="1" applyAlignment="1">
      <alignment horizontal="center"/>
    </xf>
    <xf numFmtId="4" fontId="23" fillId="0" borderId="4" xfId="0" applyNumberFormat="1" applyFont="1" applyFill="1" applyBorder="1"/>
    <xf numFmtId="0" fontId="45" fillId="0" borderId="6" xfId="0" applyFont="1" applyBorder="1" applyAlignment="1">
      <alignment horizontal="left" vertical="center"/>
    </xf>
    <xf numFmtId="4" fontId="22" fillId="0" borderId="4" xfId="0" applyNumberFormat="1" applyFont="1" applyFill="1" applyBorder="1" applyAlignment="1">
      <alignment vertical="center"/>
    </xf>
    <xf numFmtId="4" fontId="15" fillId="0" borderId="4" xfId="2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4" fontId="18" fillId="0" borderId="4" xfId="0" applyNumberFormat="1" applyFont="1" applyFill="1" applyBorder="1" applyAlignment="1">
      <alignment vertical="center"/>
    </xf>
    <xf numFmtId="4" fontId="46" fillId="0" borderId="1" xfId="0" applyNumberFormat="1" applyFont="1" applyFill="1" applyBorder="1" applyAlignment="1">
      <alignment vertical="center"/>
    </xf>
    <xf numFmtId="4" fontId="46" fillId="0" borderId="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4" fontId="18" fillId="16" borderId="0" xfId="0" applyNumberFormat="1" applyFont="1" applyFill="1" applyBorder="1" applyAlignment="1">
      <alignment vertical="center"/>
    </xf>
    <xf numFmtId="4" fontId="46" fillId="16" borderId="4" xfId="0" applyNumberFormat="1" applyFont="1" applyFill="1" applyBorder="1" applyAlignment="1">
      <alignment vertical="center"/>
    </xf>
    <xf numFmtId="4" fontId="18" fillId="16" borderId="4" xfId="0" applyNumberFormat="1" applyFont="1" applyFill="1" applyBorder="1" applyAlignment="1">
      <alignment vertical="center"/>
    </xf>
    <xf numFmtId="4" fontId="46" fillId="0" borderId="4" xfId="0" applyNumberFormat="1" applyFont="1" applyFill="1" applyBorder="1" applyAlignment="1">
      <alignment vertical="center"/>
    </xf>
    <xf numFmtId="4" fontId="18" fillId="0" borderId="4" xfId="2" applyNumberFormat="1" applyFont="1" applyFill="1" applyBorder="1" applyAlignment="1">
      <alignment vertical="center"/>
    </xf>
    <xf numFmtId="4" fontId="46" fillId="0" borderId="4" xfId="2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18" fillId="14" borderId="15" xfId="0" applyNumberFormat="1" applyFont="1" applyFill="1" applyBorder="1" applyAlignment="1">
      <alignment horizontal="center" vertical="center"/>
    </xf>
    <xf numFmtId="0" fontId="46" fillId="14" borderId="4" xfId="0" applyFont="1" applyFill="1" applyBorder="1" applyAlignment="1">
      <alignment horizontal="center" vertical="center"/>
    </xf>
    <xf numFmtId="0" fontId="47" fillId="14" borderId="4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vertical="center"/>
    </xf>
    <xf numFmtId="0" fontId="49" fillId="14" borderId="1" xfId="0" applyFont="1" applyFill="1" applyBorder="1" applyAlignment="1">
      <alignment horizontal="left" vertical="center" wrapText="1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47" fillId="0" borderId="0" xfId="0" applyFont="1"/>
    <xf numFmtId="49" fontId="18" fillId="0" borderId="15" xfId="0" applyNumberFormat="1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50" fillId="0" borderId="6" xfId="0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4" fontId="18" fillId="0" borderId="0" xfId="0" applyNumberFormat="1" applyFont="1"/>
    <xf numFmtId="0" fontId="49" fillId="10" borderId="6" xfId="0" applyFont="1" applyFill="1" applyBorder="1" applyAlignment="1">
      <alignment horizontal="left" vertical="center"/>
    </xf>
    <xf numFmtId="49" fontId="15" fillId="14" borderId="15" xfId="0" applyNumberFormat="1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49" fontId="22" fillId="14" borderId="4" xfId="0" applyNumberFormat="1" applyFont="1" applyFill="1" applyBorder="1" applyAlignment="1">
      <alignment horizontal="center" vertical="center"/>
    </xf>
    <xf numFmtId="0" fontId="44" fillId="14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45" fillId="0" borderId="6" xfId="0" applyFont="1" applyFill="1" applyBorder="1" applyAlignment="1">
      <alignment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0" fontId="22" fillId="16" borderId="4" xfId="0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center" vertical="center"/>
    </xf>
    <xf numFmtId="49" fontId="22" fillId="16" borderId="4" xfId="0" applyNumberFormat="1" applyFont="1" applyFill="1" applyBorder="1" applyAlignment="1">
      <alignment horizontal="center" vertical="center"/>
    </xf>
    <xf numFmtId="0" fontId="44" fillId="16" borderId="1" xfId="0" applyFont="1" applyFill="1" applyBorder="1" applyAlignment="1">
      <alignment vertical="center" wrapText="1"/>
    </xf>
    <xf numFmtId="4" fontId="15" fillId="16" borderId="4" xfId="0" applyNumberFormat="1" applyFont="1" applyFill="1" applyBorder="1" applyAlignment="1">
      <alignment vertical="center" wrapText="1"/>
    </xf>
    <xf numFmtId="0" fontId="15" fillId="16" borderId="4" xfId="0" applyFont="1" applyFill="1" applyBorder="1" applyAlignment="1">
      <alignment vertical="center" wrapText="1"/>
    </xf>
    <xf numFmtId="4" fontId="15" fillId="16" borderId="4" xfId="0" applyNumberFormat="1" applyFont="1" applyFill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/>
    </xf>
    <xf numFmtId="0" fontId="51" fillId="0" borderId="4" xfId="0" applyFont="1" applyBorder="1"/>
    <xf numFmtId="0" fontId="44" fillId="10" borderId="6" xfId="0" applyFont="1" applyFill="1" applyBorder="1" applyAlignment="1">
      <alignment horizontal="left" vertical="center"/>
    </xf>
    <xf numFmtId="0" fontId="44" fillId="14" borderId="3" xfId="0" applyFont="1" applyFill="1" applyBorder="1" applyAlignment="1">
      <alignment horizontal="left" vertical="center" wrapText="1"/>
    </xf>
    <xf numFmtId="4" fontId="22" fillId="0" borderId="3" xfId="2" applyNumberFormat="1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52" fillId="0" borderId="0" xfId="0" applyFont="1"/>
    <xf numFmtId="4" fontId="22" fillId="0" borderId="4" xfId="2" applyNumberFormat="1" applyFont="1" applyFill="1" applyBorder="1" applyAlignment="1">
      <alignment vertical="center"/>
    </xf>
    <xf numFmtId="49" fontId="15" fillId="3" borderId="15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44" fillId="14" borderId="1" xfId="0" applyFont="1" applyFill="1" applyBorder="1" applyAlignment="1">
      <alignment horizontal="left" vertical="center" wrapText="1"/>
    </xf>
    <xf numFmtId="4" fontId="22" fillId="0" borderId="1" xfId="2" applyNumberFormat="1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vertical="center"/>
    </xf>
    <xf numFmtId="0" fontId="45" fillId="0" borderId="6" xfId="0" applyFont="1" applyFill="1" applyBorder="1" applyAlignment="1">
      <alignment horizontal="left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left" vertical="center"/>
    </xf>
    <xf numFmtId="4" fontId="1" fillId="3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51" fillId="14" borderId="4" xfId="0" applyFont="1" applyFill="1" applyBorder="1"/>
    <xf numFmtId="4" fontId="46" fillId="0" borderId="0" xfId="0" applyNumberFormat="1" applyFont="1" applyAlignment="1">
      <alignment vertical="center"/>
    </xf>
    <xf numFmtId="0" fontId="22" fillId="14" borderId="4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45" fillId="0" borderId="6" xfId="0" applyFont="1" applyBorder="1" applyAlignment="1">
      <alignment vertical="center"/>
    </xf>
    <xf numFmtId="0" fontId="52" fillId="0" borderId="15" xfId="0" applyFont="1" applyBorder="1"/>
    <xf numFmtId="0" fontId="44" fillId="0" borderId="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4" fontId="15" fillId="0" borderId="0" xfId="2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0" fontId="52" fillId="0" borderId="0" xfId="0" applyFont="1" applyBorder="1"/>
    <xf numFmtId="0" fontId="52" fillId="0" borderId="0" xfId="0" applyFont="1" applyFill="1" applyBorder="1"/>
    <xf numFmtId="0" fontId="51" fillId="0" borderId="0" xfId="0" applyFont="1" applyBorder="1"/>
    <xf numFmtId="0" fontId="22" fillId="0" borderId="0" xfId="0" applyFont="1" applyBorder="1"/>
    <xf numFmtId="0" fontId="45" fillId="0" borderId="0" xfId="0" applyFont="1" applyBorder="1"/>
    <xf numFmtId="0" fontId="18" fillId="0" borderId="0" xfId="0" applyFont="1" applyFill="1" applyBorder="1"/>
    <xf numFmtId="0" fontId="53" fillId="0" borderId="0" xfId="0" applyFont="1" applyBorder="1"/>
    <xf numFmtId="0" fontId="54" fillId="0" borderId="0" xfId="0" applyFont="1" applyBorder="1"/>
    <xf numFmtId="4" fontId="53" fillId="0" borderId="0" xfId="0" applyNumberFormat="1" applyFont="1" applyBorder="1"/>
    <xf numFmtId="4" fontId="55" fillId="0" borderId="0" xfId="0" applyNumberFormat="1" applyFont="1" applyFill="1" applyBorder="1"/>
    <xf numFmtId="0" fontId="55" fillId="0" borderId="0" xfId="0" applyFont="1" applyFill="1" applyBorder="1"/>
    <xf numFmtId="0" fontId="19" fillId="3" borderId="0" xfId="0" applyFont="1" applyFill="1" applyBorder="1"/>
    <xf numFmtId="4" fontId="45" fillId="0" borderId="0" xfId="0" applyNumberFormat="1" applyFont="1"/>
    <xf numFmtId="0" fontId="52" fillId="0" borderId="0" xfId="0" applyFont="1" applyBorder="1" applyAlignment="1"/>
    <xf numFmtId="0" fontId="51" fillId="0" borderId="0" xfId="0" applyFont="1" applyBorder="1" applyAlignment="1"/>
    <xf numFmtId="0" fontId="22" fillId="0" borderId="0" xfId="0" applyFont="1" applyBorder="1" applyAlignment="1"/>
    <xf numFmtId="0" fontId="45" fillId="0" borderId="0" xfId="0" applyFont="1" applyBorder="1" applyAlignment="1"/>
    <xf numFmtId="4" fontId="18" fillId="0" borderId="0" xfId="0" applyNumberFormat="1" applyFont="1" applyFill="1" applyBorder="1" applyAlignment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33" fillId="0" borderId="0" xfId="0" applyFont="1" applyBorder="1"/>
    <xf numFmtId="0" fontId="2" fillId="0" borderId="0" xfId="0" applyFont="1" applyBorder="1"/>
    <xf numFmtId="4" fontId="4" fillId="0" borderId="0" xfId="0" applyNumberFormat="1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3" borderId="0" xfId="0" applyFont="1" applyFill="1" applyBorder="1"/>
    <xf numFmtId="4" fontId="4" fillId="0" borderId="0" xfId="0" applyNumberFormat="1" applyFont="1"/>
    <xf numFmtId="4" fontId="8" fillId="0" borderId="0" xfId="0" applyNumberFormat="1" applyFont="1"/>
    <xf numFmtId="0" fontId="52" fillId="0" borderId="0" xfId="0" applyFont="1" applyAlignment="1"/>
    <xf numFmtId="0" fontId="15" fillId="0" borderId="0" xfId="0" applyFont="1" applyAlignment="1"/>
    <xf numFmtId="0" fontId="45" fillId="0" borderId="0" xfId="0" applyFont="1" applyAlignment="1"/>
    <xf numFmtId="4" fontId="18" fillId="0" borderId="0" xfId="0" applyNumberFormat="1" applyFont="1" applyAlignment="1"/>
    <xf numFmtId="4" fontId="15" fillId="0" borderId="0" xfId="0" applyNumberFormat="1" applyFont="1" applyAlignment="1"/>
    <xf numFmtId="4" fontId="57" fillId="0" borderId="4" xfId="0" applyNumberFormat="1" applyFont="1" applyFill="1" applyBorder="1" applyAlignment="1">
      <alignment vertical="center"/>
    </xf>
    <xf numFmtId="4" fontId="56" fillId="0" borderId="4" xfId="0" applyNumberFormat="1" applyFont="1" applyFill="1" applyBorder="1" applyAlignment="1">
      <alignment vertical="center"/>
    </xf>
    <xf numFmtId="49" fontId="58" fillId="0" borderId="15" xfId="0" applyNumberFormat="1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49" fontId="59" fillId="0" borderId="4" xfId="0" applyNumberFormat="1" applyFont="1" applyBorder="1" applyAlignment="1">
      <alignment horizontal="center" vertical="center"/>
    </xf>
    <xf numFmtId="0" fontId="61" fillId="0" borderId="6" xfId="0" applyFont="1" applyBorder="1" applyAlignment="1">
      <alignment horizontal="left" vertical="center"/>
    </xf>
    <xf numFmtId="4" fontId="60" fillId="0" borderId="4" xfId="0" applyNumberFormat="1" applyFont="1" applyFill="1" applyBorder="1" applyAlignment="1">
      <alignment vertical="center"/>
    </xf>
    <xf numFmtId="49" fontId="60" fillId="0" borderId="4" xfId="0" applyNumberFormat="1" applyFont="1" applyBorder="1" applyAlignment="1">
      <alignment horizontal="center" vertical="center"/>
    </xf>
    <xf numFmtId="0" fontId="62" fillId="0" borderId="4" xfId="0" applyFont="1" applyBorder="1"/>
    <xf numFmtId="49" fontId="60" fillId="0" borderId="15" xfId="0" applyNumberFormat="1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63" fillId="0" borderId="6" xfId="0" applyFont="1" applyBorder="1" applyAlignment="1">
      <alignment horizontal="left" vertical="center"/>
    </xf>
    <xf numFmtId="4" fontId="59" fillId="0" borderId="4" xfId="0" applyNumberFormat="1" applyFont="1" applyFill="1" applyBorder="1" applyAlignment="1">
      <alignment vertical="center"/>
    </xf>
    <xf numFmtId="0" fontId="60" fillId="0" borderId="0" xfId="0" applyFont="1" applyAlignment="1">
      <alignment vertical="center"/>
    </xf>
    <xf numFmtId="4" fontId="59" fillId="0" borderId="1" xfId="0" applyNumberFormat="1" applyFont="1" applyFill="1" applyBorder="1" applyAlignment="1">
      <alignment vertical="center"/>
    </xf>
    <xf numFmtId="4" fontId="59" fillId="0" borderId="6" xfId="0" applyNumberFormat="1" applyFont="1" applyFill="1" applyBorder="1" applyAlignment="1">
      <alignment vertical="center"/>
    </xf>
    <xf numFmtId="4" fontId="60" fillId="0" borderId="4" xfId="2" applyNumberFormat="1" applyFont="1" applyFill="1" applyBorder="1" applyAlignment="1">
      <alignment vertical="center"/>
    </xf>
    <xf numFmtId="4" fontId="64" fillId="0" borderId="4" xfId="0" applyNumberFormat="1" applyFont="1" applyFill="1" applyBorder="1" applyAlignment="1">
      <alignment vertical="center"/>
    </xf>
    <xf numFmtId="4" fontId="65" fillId="0" borderId="1" xfId="0" applyNumberFormat="1" applyFont="1" applyFill="1" applyBorder="1" applyAlignment="1">
      <alignment vertical="center"/>
    </xf>
    <xf numFmtId="4" fontId="65" fillId="0" borderId="6" xfId="0" applyNumberFormat="1" applyFont="1" applyFill="1" applyBorder="1" applyAlignment="1">
      <alignment vertical="center"/>
    </xf>
    <xf numFmtId="0" fontId="61" fillId="0" borderId="6" xfId="0" applyFont="1" applyBorder="1" applyAlignment="1">
      <alignment vertical="center"/>
    </xf>
    <xf numFmtId="4" fontId="59" fillId="0" borderId="4" xfId="2" applyNumberFormat="1" applyFont="1" applyFill="1" applyBorder="1" applyAlignment="1">
      <alignment vertical="center"/>
    </xf>
    <xf numFmtId="4" fontId="64" fillId="16" borderId="4" xfId="0" applyNumberFormat="1" applyFont="1" applyFill="1" applyBorder="1" applyAlignment="1">
      <alignment vertical="center"/>
    </xf>
    <xf numFmtId="4" fontId="64" fillId="0" borderId="4" xfId="2" applyNumberFormat="1" applyFont="1" applyFill="1" applyBorder="1" applyAlignment="1">
      <alignment vertical="center"/>
    </xf>
    <xf numFmtId="4" fontId="65" fillId="0" borderId="4" xfId="0" applyNumberFormat="1" applyFont="1" applyFill="1" applyBorder="1" applyAlignment="1">
      <alignment vertical="center"/>
    </xf>
    <xf numFmtId="4" fontId="65" fillId="0" borderId="4" xfId="2" applyNumberFormat="1" applyFont="1" applyFill="1" applyBorder="1" applyAlignment="1">
      <alignment vertical="center"/>
    </xf>
    <xf numFmtId="4" fontId="60" fillId="0" borderId="8" xfId="0" applyNumberFormat="1" applyFont="1" applyFill="1" applyBorder="1" applyAlignment="1">
      <alignment vertical="center"/>
    </xf>
    <xf numFmtId="4" fontId="59" fillId="0" borderId="0" xfId="2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vertical="center"/>
    </xf>
    <xf numFmtId="4" fontId="59" fillId="0" borderId="12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4" fontId="57" fillId="0" borderId="4" xfId="2" applyNumberFormat="1" applyFont="1" applyFill="1" applyBorder="1" applyAlignment="1">
      <alignment vertical="center"/>
    </xf>
    <xf numFmtId="4" fontId="56" fillId="0" borderId="4" xfId="2" applyNumberFormat="1" applyFont="1" applyFill="1" applyBorder="1" applyAlignment="1">
      <alignment vertical="center"/>
    </xf>
    <xf numFmtId="4" fontId="57" fillId="0" borderId="0" xfId="0" applyNumberFormat="1" applyFont="1" applyFill="1" applyAlignment="1">
      <alignment vertical="center"/>
    </xf>
    <xf numFmtId="4" fontId="57" fillId="0" borderId="0" xfId="0" applyNumberFormat="1" applyFont="1" applyAlignment="1">
      <alignment vertical="center"/>
    </xf>
    <xf numFmtId="4" fontId="57" fillId="0" borderId="4" xfId="5" applyNumberFormat="1" applyFont="1" applyFill="1" applyBorder="1" applyAlignment="1">
      <alignment vertical="center"/>
    </xf>
    <xf numFmtId="0" fontId="57" fillId="0" borderId="0" xfId="0" applyFont="1"/>
    <xf numFmtId="0" fontId="56" fillId="0" borderId="0" xfId="0" applyFont="1"/>
    <xf numFmtId="0" fontId="66" fillId="0" borderId="0" xfId="0" applyFont="1"/>
    <xf numFmtId="0" fontId="67" fillId="0" borderId="0" xfId="0" applyFont="1"/>
    <xf numFmtId="0" fontId="67" fillId="3" borderId="0" xfId="0" applyFont="1" applyFill="1" applyBorder="1"/>
    <xf numFmtId="4" fontId="68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6" fillId="0" borderId="0" xfId="0" applyNumberFormat="1" applyFont="1" applyFill="1" applyAlignment="1">
      <alignment vertical="center"/>
    </xf>
    <xf numFmtId="4" fontId="57" fillId="0" borderId="0" xfId="0" applyNumberFormat="1" applyFont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vertical="center"/>
    </xf>
    <xf numFmtId="4" fontId="67" fillId="0" borderId="0" xfId="0" applyNumberFormat="1" applyFont="1"/>
    <xf numFmtId="4" fontId="67" fillId="0" borderId="0" xfId="0" applyNumberFormat="1" applyFont="1" applyAlignment="1">
      <alignment vertical="center"/>
    </xf>
    <xf numFmtId="4" fontId="67" fillId="0" borderId="0" xfId="0" applyNumberFormat="1" applyFont="1" applyBorder="1" applyAlignment="1">
      <alignment vertical="center"/>
    </xf>
    <xf numFmtId="0" fontId="69" fillId="0" borderId="0" xfId="0" applyFont="1"/>
    <xf numFmtId="4" fontId="67" fillId="3" borderId="0" xfId="0" applyNumberFormat="1" applyFont="1" applyFill="1" applyBorder="1" applyAlignment="1">
      <alignment vertical="center"/>
    </xf>
    <xf numFmtId="0" fontId="68" fillId="3" borderId="0" xfId="0" applyFont="1" applyFill="1" applyBorder="1" applyAlignment="1">
      <alignment horizontal="center" vertical="center" textRotation="90" wrapText="1"/>
    </xf>
    <xf numFmtId="4" fontId="69" fillId="3" borderId="0" xfId="0" applyNumberFormat="1" applyFont="1" applyFill="1" applyBorder="1" applyAlignment="1">
      <alignment vertical="center"/>
    </xf>
    <xf numFmtId="4" fontId="69" fillId="0" borderId="0" xfId="0" applyNumberFormat="1" applyFont="1" applyAlignment="1">
      <alignment vertical="center"/>
    </xf>
    <xf numFmtId="4" fontId="70" fillId="0" borderId="0" xfId="0" applyNumberFormat="1" applyFont="1" applyAlignment="1">
      <alignment vertical="center"/>
    </xf>
    <xf numFmtId="4" fontId="57" fillId="3" borderId="0" xfId="0" applyNumberFormat="1" applyFont="1" applyFill="1" applyAlignment="1">
      <alignment vertical="center"/>
    </xf>
    <xf numFmtId="4" fontId="57" fillId="3" borderId="0" xfId="0" applyNumberFormat="1" applyFont="1" applyFill="1" applyBorder="1" applyAlignment="1">
      <alignment vertical="center"/>
    </xf>
    <xf numFmtId="4" fontId="69" fillId="0" borderId="0" xfId="0" applyNumberFormat="1" applyFont="1" applyBorder="1" applyAlignment="1">
      <alignment vertical="center"/>
    </xf>
    <xf numFmtId="4" fontId="69" fillId="3" borderId="0" xfId="0" applyNumberFormat="1" applyFont="1" applyFill="1" applyAlignment="1">
      <alignment vertical="center"/>
    </xf>
    <xf numFmtId="4" fontId="67" fillId="0" borderId="0" xfId="1" applyNumberFormat="1" applyFont="1" applyFill="1" applyAlignment="1">
      <alignment vertical="center"/>
    </xf>
    <xf numFmtId="4" fontId="57" fillId="0" borderId="0" xfId="2" applyNumberFormat="1" applyFont="1" applyFill="1" applyBorder="1" applyAlignment="1">
      <alignment vertical="center"/>
    </xf>
    <xf numFmtId="0" fontId="57" fillId="3" borderId="0" xfId="0" applyFont="1" applyFill="1" applyBorder="1"/>
    <xf numFmtId="0" fontId="66" fillId="3" borderId="0" xfId="0" applyFont="1" applyFill="1" applyBorder="1"/>
    <xf numFmtId="4" fontId="71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4" fontId="69" fillId="0" borderId="4" xfId="1" applyNumberFormat="1" applyFont="1" applyFill="1" applyBorder="1" applyAlignment="1">
      <alignment vertical="center"/>
    </xf>
    <xf numFmtId="4" fontId="69" fillId="0" borderId="4" xfId="0" applyNumberFormat="1" applyFont="1" applyFill="1" applyBorder="1" applyAlignment="1">
      <alignment vertical="center"/>
    </xf>
    <xf numFmtId="4" fontId="70" fillId="0" borderId="4" xfId="0" applyNumberFormat="1" applyFont="1" applyFill="1" applyBorder="1" applyAlignment="1">
      <alignment vertical="center"/>
    </xf>
    <xf numFmtId="4" fontId="57" fillId="16" borderId="4" xfId="0" applyNumberFormat="1" applyFont="1" applyFill="1" applyBorder="1" applyAlignment="1">
      <alignment vertical="center" wrapText="1"/>
    </xf>
    <xf numFmtId="0" fontId="57" fillId="16" borderId="4" xfId="0" applyFont="1" applyFill="1" applyBorder="1" applyAlignment="1">
      <alignment vertical="center" wrapText="1"/>
    </xf>
    <xf numFmtId="4" fontId="57" fillId="16" borderId="4" xfId="0" applyNumberFormat="1" applyFont="1" applyFill="1" applyBorder="1" applyAlignment="1">
      <alignment vertical="center"/>
    </xf>
    <xf numFmtId="0" fontId="27" fillId="9" borderId="6" xfId="0" applyFont="1" applyFill="1" applyBorder="1" applyAlignment="1">
      <alignment horizontal="center" vertical="center"/>
    </xf>
    <xf numFmtId="49" fontId="25" fillId="9" borderId="14" xfId="0" applyNumberFormat="1" applyFont="1" applyFill="1" applyBorder="1" applyAlignment="1">
      <alignment horizontal="center" vertical="center" textRotation="90" wrapText="1"/>
    </xf>
    <xf numFmtId="49" fontId="25" fillId="9" borderId="14" xfId="0" applyNumberFormat="1" applyFont="1" applyFill="1" applyBorder="1" applyAlignment="1">
      <alignment horizontal="left" vertical="center" textRotation="90" wrapText="1"/>
    </xf>
    <xf numFmtId="49" fontId="72" fillId="9" borderId="14" xfId="0" applyNumberFormat="1" applyFont="1" applyFill="1" applyBorder="1" applyAlignment="1">
      <alignment horizontal="center" vertical="center" textRotation="90" wrapText="1"/>
    </xf>
    <xf numFmtId="49" fontId="26" fillId="9" borderId="14" xfId="0" applyNumberFormat="1" applyFont="1" applyFill="1" applyBorder="1" applyAlignment="1">
      <alignment horizontal="center" vertical="center" textRotation="90"/>
    </xf>
    <xf numFmtId="49" fontId="72" fillId="9" borderId="2" xfId="0" applyNumberFormat="1" applyFont="1" applyFill="1" applyBorder="1" applyAlignment="1">
      <alignment horizontal="center" vertical="center" textRotation="90"/>
    </xf>
    <xf numFmtId="49" fontId="25" fillId="9" borderId="2" xfId="0" applyNumberFormat="1" applyFont="1" applyFill="1" applyBorder="1" applyAlignment="1">
      <alignment vertical="center"/>
    </xf>
    <xf numFmtId="0" fontId="2" fillId="9" borderId="1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10" borderId="4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4" fontId="1" fillId="0" borderId="15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9" borderId="4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vertical="center"/>
    </xf>
    <xf numFmtId="4" fontId="2" fillId="9" borderId="14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49" fontId="1" fillId="9" borderId="1" xfId="0" applyNumberFormat="1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vertical="center"/>
    </xf>
    <xf numFmtId="49" fontId="1" fillId="9" borderId="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0" fontId="74" fillId="10" borderId="12" xfId="0" applyFont="1" applyFill="1" applyBorder="1" applyAlignment="1">
      <alignment horizontal="left" vertical="center"/>
    </xf>
    <xf numFmtId="0" fontId="74" fillId="10" borderId="12" xfId="0" applyFont="1" applyFill="1" applyBorder="1" applyAlignment="1">
      <alignment horizontal="left" vertical="center" wrapText="1"/>
    </xf>
    <xf numFmtId="0" fontId="74" fillId="10" borderId="12" xfId="0" applyFont="1" applyFill="1" applyBorder="1" applyAlignment="1">
      <alignment horizontal="center" vertical="center" wrapText="1"/>
    </xf>
    <xf numFmtId="49" fontId="73" fillId="10" borderId="0" xfId="0" applyNumberFormat="1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73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left" vertical="center" wrapText="1"/>
    </xf>
    <xf numFmtId="0" fontId="25" fillId="10" borderId="6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center"/>
    </xf>
    <xf numFmtId="0" fontId="7" fillId="0" borderId="0" xfId="0" applyFont="1" applyAlignment="1"/>
    <xf numFmtId="4" fontId="5" fillId="3" borderId="4" xfId="3" applyNumberFormat="1" applyFont="1" applyFill="1" applyBorder="1" applyAlignment="1">
      <alignment vertical="center"/>
    </xf>
    <xf numFmtId="0" fontId="5" fillId="3" borderId="4" xfId="3" applyFont="1" applyFill="1" applyBorder="1" applyAlignment="1">
      <alignment vertical="center"/>
    </xf>
    <xf numFmtId="4" fontId="8" fillId="3" borderId="4" xfId="3" applyNumberFormat="1" applyFont="1" applyFill="1" applyBorder="1" applyAlignment="1">
      <alignment vertical="center"/>
    </xf>
    <xf numFmtId="0" fontId="8" fillId="3" borderId="4" xfId="3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7" fillId="3" borderId="0" xfId="0" applyFont="1" applyFill="1" applyBorder="1"/>
    <xf numFmtId="0" fontId="3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7" fillId="0" borderId="5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74" fillId="10" borderId="5" xfId="0" applyFont="1" applyFill="1" applyBorder="1" applyAlignment="1">
      <alignment horizontal="left" vertical="center"/>
    </xf>
    <xf numFmtId="0" fontId="74" fillId="10" borderId="1" xfId="0" applyFont="1" applyFill="1" applyBorder="1" applyAlignment="1">
      <alignment horizontal="left" vertical="center"/>
    </xf>
    <xf numFmtId="0" fontId="74" fillId="10" borderId="6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27" fillId="9" borderId="9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74" fillId="10" borderId="3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49" fontId="73" fillId="0" borderId="5" xfId="0" applyNumberFormat="1" applyFont="1" applyFill="1" applyBorder="1" applyAlignment="1">
      <alignment horizontal="center" vertical="center"/>
    </xf>
    <xf numFmtId="49" fontId="73" fillId="0" borderId="1" xfId="0" applyNumberFormat="1" applyFont="1" applyFill="1" applyBorder="1" applyAlignment="1">
      <alignment horizontal="center" vertical="center"/>
    </xf>
    <xf numFmtId="49" fontId="73" fillId="0" borderId="6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74" fillId="10" borderId="9" xfId="0" applyFont="1" applyFill="1" applyBorder="1" applyAlignment="1">
      <alignment horizontal="left" vertical="center"/>
    </xf>
    <xf numFmtId="0" fontId="74" fillId="10" borderId="2" xfId="0" applyFont="1" applyFill="1" applyBorder="1" applyAlignment="1">
      <alignment horizontal="left" vertical="center"/>
    </xf>
    <xf numFmtId="0" fontId="74" fillId="10" borderId="10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" fontId="2" fillId="13" borderId="7" xfId="0" applyNumberFormat="1" applyFont="1" applyFill="1" applyBorder="1" applyAlignment="1">
      <alignment horizontal="center" vertical="center" wrapText="1"/>
    </xf>
    <xf numFmtId="4" fontId="2" fillId="13" borderId="3" xfId="0" applyNumberFormat="1" applyFont="1" applyFill="1" applyBorder="1" applyAlignment="1">
      <alignment horizontal="center" vertical="center" wrapText="1"/>
    </xf>
    <xf numFmtId="4" fontId="2" fillId="13" borderId="8" xfId="0" applyNumberFormat="1" applyFont="1" applyFill="1" applyBorder="1" applyAlignment="1">
      <alignment horizontal="center" vertical="center" wrapText="1"/>
    </xf>
    <xf numFmtId="4" fontId="2" fillId="13" borderId="9" xfId="0" applyNumberFormat="1" applyFont="1" applyFill="1" applyBorder="1" applyAlignment="1">
      <alignment horizontal="center" vertical="center" wrapText="1"/>
    </xf>
    <xf numFmtId="4" fontId="2" fillId="13" borderId="2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/>
    </xf>
    <xf numFmtId="0" fontId="27" fillId="10" borderId="4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0" borderId="6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4" fontId="60" fillId="0" borderId="7" xfId="0" applyNumberFormat="1" applyFont="1" applyBorder="1" applyAlignment="1">
      <alignment horizontal="center" vertical="center" wrapText="1"/>
    </xf>
    <xf numFmtId="4" fontId="60" fillId="0" borderId="8" xfId="0" applyNumberFormat="1" applyFont="1" applyBorder="1" applyAlignment="1">
      <alignment horizontal="center" vertical="center" wrapText="1"/>
    </xf>
    <xf numFmtId="4" fontId="60" fillId="0" borderId="9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74" fillId="10" borderId="7" xfId="0" applyFont="1" applyFill="1" applyBorder="1" applyAlignment="1">
      <alignment horizontal="left" vertical="center" wrapText="1"/>
    </xf>
    <xf numFmtId="0" fontId="74" fillId="10" borderId="3" xfId="0" applyFont="1" applyFill="1" applyBorder="1" applyAlignment="1">
      <alignment horizontal="left" vertical="center" wrapText="1"/>
    </xf>
    <xf numFmtId="0" fontId="74" fillId="10" borderId="8" xfId="0" applyFont="1" applyFill="1" applyBorder="1" applyAlignment="1">
      <alignment horizontal="left" vertical="center" wrapText="1"/>
    </xf>
    <xf numFmtId="0" fontId="74" fillId="0" borderId="7" xfId="0" applyFont="1" applyFill="1" applyBorder="1" applyAlignment="1">
      <alignment horizontal="left" vertical="center"/>
    </xf>
    <xf numFmtId="0" fontId="74" fillId="0" borderId="3" xfId="0" applyFont="1" applyFill="1" applyBorder="1" applyAlignment="1">
      <alignment horizontal="left" vertical="center"/>
    </xf>
    <xf numFmtId="0" fontId="74" fillId="0" borderId="8" xfId="0" applyFont="1" applyFill="1" applyBorder="1" applyAlignment="1">
      <alignment horizontal="left" vertical="center"/>
    </xf>
    <xf numFmtId="0" fontId="74" fillId="9" borderId="5" xfId="0" applyFont="1" applyFill="1" applyBorder="1" applyAlignment="1">
      <alignment horizontal="left" vertical="center" wrapText="1"/>
    </xf>
    <xf numFmtId="0" fontId="74" fillId="9" borderId="1" xfId="0" applyFont="1" applyFill="1" applyBorder="1" applyAlignment="1">
      <alignment horizontal="left" vertical="center" wrapText="1"/>
    </xf>
    <xf numFmtId="0" fontId="74" fillId="10" borderId="9" xfId="0" applyFont="1" applyFill="1" applyBorder="1" applyAlignment="1">
      <alignment horizontal="left" vertical="center" wrapText="1"/>
    </xf>
    <xf numFmtId="0" fontId="74" fillId="10" borderId="2" xfId="0" applyFont="1" applyFill="1" applyBorder="1" applyAlignment="1">
      <alignment horizontal="left" vertical="center" wrapText="1"/>
    </xf>
    <xf numFmtId="0" fontId="74" fillId="10" borderId="10" xfId="0" applyFont="1" applyFill="1" applyBorder="1" applyAlignment="1">
      <alignment horizontal="left" vertical="center" wrapText="1"/>
    </xf>
    <xf numFmtId="49" fontId="30" fillId="0" borderId="5" xfId="0" applyNumberFormat="1" applyFont="1" applyFill="1" applyBorder="1" applyAlignment="1">
      <alignment horizontal="left" vertical="center"/>
    </xf>
    <xf numFmtId="49" fontId="30" fillId="0" borderId="1" xfId="0" applyNumberFormat="1" applyFont="1" applyFill="1" applyBorder="1" applyAlignment="1">
      <alignment horizontal="left" vertical="center"/>
    </xf>
    <xf numFmtId="49" fontId="30" fillId="0" borderId="6" xfId="0" applyNumberFormat="1" applyFont="1" applyFill="1" applyBorder="1" applyAlignment="1">
      <alignment horizontal="left" vertical="center"/>
    </xf>
    <xf numFmtId="0" fontId="74" fillId="0" borderId="5" xfId="0" applyFont="1" applyFill="1" applyBorder="1" applyAlignment="1">
      <alignment horizontal="left"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74" fillId="0" borderId="6" xfId="0" applyFont="1" applyFill="1" applyBorder="1" applyAlignment="1">
      <alignment horizontal="left" vertical="center" wrapText="1"/>
    </xf>
    <xf numFmtId="0" fontId="27" fillId="10" borderId="5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vertical="center" wrapText="1"/>
    </xf>
    <xf numFmtId="0" fontId="27" fillId="10" borderId="6" xfId="0" applyFont="1" applyFill="1" applyBorder="1" applyAlignment="1">
      <alignment horizontal="left" vertical="center" wrapText="1"/>
    </xf>
    <xf numFmtId="0" fontId="74" fillId="10" borderId="5" xfId="0" applyFont="1" applyFill="1" applyBorder="1" applyAlignment="1">
      <alignment horizontal="left" vertical="center" wrapText="1"/>
    </xf>
    <xf numFmtId="0" fontId="74" fillId="10" borderId="1" xfId="0" applyFont="1" applyFill="1" applyBorder="1" applyAlignment="1">
      <alignment horizontal="left" vertical="center" wrapText="1"/>
    </xf>
    <xf numFmtId="0" fontId="74" fillId="10" borderId="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9" borderId="4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49" fontId="6" fillId="9" borderId="5" xfId="5" applyNumberFormat="1" applyFont="1" applyFill="1" applyBorder="1" applyAlignment="1">
      <alignment horizontal="center" vertical="center" wrapText="1"/>
    </xf>
    <xf numFmtId="49" fontId="6" fillId="9" borderId="1" xfId="5" applyNumberFormat="1" applyFont="1" applyFill="1" applyBorder="1" applyAlignment="1">
      <alignment horizontal="center" vertical="center" wrapText="1"/>
    </xf>
    <xf numFmtId="49" fontId="6" fillId="9" borderId="6" xfId="5" applyNumberFormat="1" applyFont="1" applyFill="1" applyBorder="1" applyAlignment="1">
      <alignment horizontal="center" vertical="center" wrapText="1"/>
    </xf>
    <xf numFmtId="0" fontId="11" fillId="6" borderId="13" xfId="5" applyFont="1" applyFill="1" applyBorder="1" applyAlignment="1">
      <alignment horizontal="right" vertical="center" wrapText="1"/>
    </xf>
    <xf numFmtId="0" fontId="11" fillId="6" borderId="14" xfId="5" applyFont="1" applyFill="1" applyBorder="1" applyAlignment="1">
      <alignment horizontal="right" vertical="center" wrapText="1"/>
    </xf>
    <xf numFmtId="4" fontId="11" fillId="6" borderId="13" xfId="4" applyNumberFormat="1" applyFont="1" applyFill="1" applyBorder="1" applyAlignment="1">
      <alignment horizontal="right" vertical="center" wrapText="1"/>
    </xf>
    <xf numFmtId="4" fontId="11" fillId="6" borderId="14" xfId="4" applyNumberFormat="1" applyFont="1" applyFill="1" applyBorder="1" applyAlignment="1">
      <alignment horizontal="right" vertical="center" wrapText="1"/>
    </xf>
    <xf numFmtId="0" fontId="11" fillId="6" borderId="5" xfId="5" applyFont="1" applyFill="1" applyBorder="1" applyAlignment="1">
      <alignment horizontal="center" vertical="center" wrapText="1"/>
    </xf>
    <xf numFmtId="0" fontId="11" fillId="6" borderId="6" xfId="5" applyFont="1" applyFill="1" applyBorder="1" applyAlignment="1">
      <alignment horizontal="center" vertical="center" wrapText="1"/>
    </xf>
    <xf numFmtId="0" fontId="11" fillId="6" borderId="13" xfId="5" applyFont="1" applyFill="1" applyBorder="1" applyAlignment="1">
      <alignment horizontal="center" vertical="center" wrapText="1"/>
    </xf>
    <xf numFmtId="0" fontId="11" fillId="6" borderId="14" xfId="5" applyFont="1" applyFill="1" applyBorder="1" applyAlignment="1">
      <alignment horizontal="center" vertical="center" wrapText="1"/>
    </xf>
  </cellXfs>
  <cellStyles count="6">
    <cellStyle name="Bad" xfId="1" builtinId="27"/>
    <cellStyle name="Comma" xfId="4" builtinId="3"/>
    <cellStyle name="Good" xfId="2" builtinId="26"/>
    <cellStyle name="Neutral" xfId="3" builtinId="2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050"/>
  <sheetViews>
    <sheetView showGridLines="0" tabSelected="1" topLeftCell="A2336" zoomScaleNormal="100" workbookViewId="0">
      <selection activeCell="F2355" sqref="F2355"/>
    </sheetView>
  </sheetViews>
  <sheetFormatPr defaultRowHeight="14.25" x14ac:dyDescent="0.2"/>
  <cols>
    <col min="1" max="1" width="4.140625" style="44" customWidth="1"/>
    <col min="2" max="2" width="3.28515625" style="44" bestFit="1" customWidth="1"/>
    <col min="3" max="3" width="5.42578125" style="43" bestFit="1" customWidth="1"/>
    <col min="4" max="4" width="5.42578125" style="44" customWidth="1"/>
    <col min="5" max="5" width="9.5703125" style="20" customWidth="1"/>
    <col min="6" max="6" width="6" style="730" customWidth="1"/>
    <col min="7" max="7" width="6" style="731" customWidth="1"/>
    <col min="8" max="8" width="7.85546875" style="653" customWidth="1"/>
    <col min="9" max="9" width="54.5703125" style="533" customWidth="1"/>
    <col min="10" max="10" width="18" style="315" customWidth="1"/>
    <col min="11" max="11" width="18.42578125" style="315" customWidth="1"/>
    <col min="12" max="12" width="18" style="315" customWidth="1"/>
    <col min="13" max="13" width="14" style="992" bestFit="1" customWidth="1"/>
    <col min="14" max="14" width="17.28515625" style="823" bestFit="1" customWidth="1"/>
    <col min="15" max="15" width="18" style="16" bestFit="1" customWidth="1"/>
    <col min="16" max="16" width="16.5703125" style="140" customWidth="1"/>
    <col min="17" max="17" width="9.140625" style="119" customWidth="1"/>
    <col min="18" max="18" width="13.7109375" style="119" bestFit="1" customWidth="1"/>
    <col min="19" max="5185" width="9.140625" style="119"/>
    <col min="5186" max="5204" width="9.140625" style="119" customWidth="1"/>
    <col min="5205" max="16384" width="9.140625" style="119"/>
  </cols>
  <sheetData>
    <row r="1" spans="1:16" x14ac:dyDescent="0.2">
      <c r="A1" s="1119"/>
      <c r="B1" s="173"/>
      <c r="C1" s="173"/>
      <c r="D1" s="173"/>
      <c r="E1" s="173"/>
      <c r="F1" s="173" t="s">
        <v>1064</v>
      </c>
      <c r="G1" s="173"/>
      <c r="H1" s="173"/>
      <c r="I1" s="173"/>
      <c r="J1" s="937"/>
      <c r="K1" s="937"/>
      <c r="L1" s="937"/>
      <c r="M1" s="994"/>
      <c r="N1" s="140"/>
      <c r="O1" s="140"/>
    </row>
    <row r="2" spans="1:16" x14ac:dyDescent="0.2">
      <c r="A2" s="173" t="s">
        <v>1065</v>
      </c>
      <c r="B2" s="173"/>
      <c r="C2" s="173"/>
      <c r="D2" s="173"/>
      <c r="E2" s="173"/>
      <c r="F2" s="173"/>
      <c r="G2" s="173"/>
      <c r="H2" s="173"/>
      <c r="I2" s="173"/>
      <c r="J2" s="937"/>
      <c r="K2" s="937"/>
      <c r="L2" s="937"/>
      <c r="M2" s="994"/>
      <c r="N2" s="140"/>
      <c r="O2" s="140"/>
    </row>
    <row r="3" spans="1:16" x14ac:dyDescent="0.2">
      <c r="A3" s="173" t="s">
        <v>1066</v>
      </c>
      <c r="B3" s="173"/>
      <c r="C3" s="173"/>
      <c r="D3" s="173"/>
      <c r="E3" s="173"/>
      <c r="F3" s="173"/>
      <c r="G3" s="173"/>
      <c r="H3" s="173"/>
      <c r="I3" s="937"/>
      <c r="J3" s="937"/>
      <c r="K3" s="937"/>
      <c r="L3" s="937"/>
      <c r="M3" s="994"/>
      <c r="N3" s="140"/>
      <c r="O3" s="140"/>
    </row>
    <row r="4" spans="1:16" x14ac:dyDescent="0.2">
      <c r="A4" s="173" t="s">
        <v>1067</v>
      </c>
      <c r="B4" s="173"/>
      <c r="C4" s="173"/>
      <c r="D4" s="173"/>
      <c r="E4" s="173"/>
      <c r="F4" s="173"/>
      <c r="G4" s="173"/>
      <c r="H4" s="173"/>
      <c r="I4" s="173"/>
      <c r="J4" s="937"/>
      <c r="K4" s="937"/>
      <c r="L4" s="937"/>
      <c r="M4" s="994"/>
      <c r="N4" s="140"/>
      <c r="O4" s="140"/>
    </row>
    <row r="5" spans="1:16" x14ac:dyDescent="0.2">
      <c r="A5" s="173"/>
      <c r="B5" s="173"/>
      <c r="C5" s="173"/>
      <c r="D5" s="173"/>
      <c r="E5" s="173"/>
      <c r="F5" s="173" t="s">
        <v>1003</v>
      </c>
      <c r="G5" s="173"/>
      <c r="H5" s="173"/>
      <c r="I5" s="173" t="s">
        <v>1087</v>
      </c>
      <c r="J5" s="937"/>
      <c r="K5" s="937"/>
      <c r="L5" s="937"/>
      <c r="M5" s="994"/>
      <c r="N5" s="140"/>
      <c r="O5" s="140"/>
    </row>
    <row r="6" spans="1:16" x14ac:dyDescent="0.2">
      <c r="A6" s="173"/>
      <c r="B6" s="173"/>
      <c r="C6" s="173"/>
      <c r="D6" s="173"/>
      <c r="E6" s="173"/>
      <c r="F6" s="173"/>
      <c r="G6" s="173"/>
      <c r="H6" s="173"/>
      <c r="I6" s="173"/>
      <c r="J6" s="937"/>
      <c r="K6" s="937"/>
      <c r="L6" s="937"/>
      <c r="M6" s="994"/>
      <c r="N6" s="140"/>
      <c r="O6" s="140"/>
    </row>
    <row r="7" spans="1:16" ht="15" x14ac:dyDescent="0.25">
      <c r="A7" s="919"/>
      <c r="B7" s="919"/>
      <c r="C7" s="921"/>
      <c r="D7" s="919"/>
      <c r="E7" s="919"/>
      <c r="F7" s="921"/>
      <c r="G7" s="919"/>
      <c r="H7" s="921"/>
      <c r="I7" s="919"/>
      <c r="J7" s="920"/>
      <c r="K7" s="920"/>
      <c r="L7" s="920"/>
      <c r="M7" s="994"/>
      <c r="N7" s="140"/>
      <c r="O7" s="140"/>
    </row>
    <row r="8" spans="1:16" ht="15" x14ac:dyDescent="0.25">
      <c r="A8" s="919"/>
      <c r="B8" s="919"/>
      <c r="C8" s="921"/>
      <c r="D8" s="919"/>
      <c r="E8" s="919"/>
      <c r="F8" s="922"/>
      <c r="G8" s="919"/>
      <c r="H8" s="922"/>
      <c r="I8" s="923"/>
      <c r="J8" s="924"/>
      <c r="K8" s="924"/>
      <c r="L8" s="924"/>
      <c r="M8" s="994"/>
      <c r="N8" s="140"/>
      <c r="O8" s="140"/>
    </row>
    <row r="9" spans="1:16" s="528" customFormat="1" ht="18" x14ac:dyDescent="0.25">
      <c r="A9" s="925"/>
      <c r="B9" s="925"/>
      <c r="C9" s="925"/>
      <c r="D9" s="925"/>
      <c r="E9" s="926"/>
      <c r="F9" s="922"/>
      <c r="G9" s="926"/>
      <c r="H9" s="925"/>
      <c r="I9" s="927"/>
      <c r="J9" s="928"/>
      <c r="K9" s="928"/>
      <c r="L9" s="929"/>
      <c r="M9" s="995"/>
      <c r="N9" s="821"/>
      <c r="O9" s="821"/>
      <c r="P9" s="821"/>
    </row>
    <row r="10" spans="1:16" s="139" customFormat="1" ht="18.75" x14ac:dyDescent="0.3">
      <c r="A10" s="1120" t="s">
        <v>180</v>
      </c>
      <c r="B10" s="1120"/>
      <c r="C10" s="1120"/>
      <c r="D10" s="1120"/>
      <c r="E10" s="1120"/>
      <c r="F10" s="1120"/>
      <c r="G10" s="1120"/>
      <c r="H10" s="1120"/>
      <c r="I10" s="1120"/>
      <c r="J10" s="1120"/>
      <c r="K10" s="1120"/>
      <c r="L10" s="1120"/>
      <c r="M10" s="996"/>
      <c r="N10" s="822"/>
      <c r="O10" s="822"/>
      <c r="P10" s="822"/>
    </row>
    <row r="11" spans="1:16" s="139" customFormat="1" ht="18.75" x14ac:dyDescent="0.3">
      <c r="A11" s="1120" t="s">
        <v>1006</v>
      </c>
      <c r="B11" s="1120"/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  <c r="M11" s="996"/>
      <c r="N11" s="822"/>
      <c r="O11" s="822"/>
      <c r="P11" s="822"/>
    </row>
    <row r="12" spans="1:16" s="132" customFormat="1" ht="15" x14ac:dyDescent="0.25">
      <c r="A12" s="1121"/>
      <c r="B12" s="1121"/>
      <c r="C12" s="1121"/>
      <c r="D12" s="1121"/>
      <c r="E12" s="1121"/>
      <c r="F12" s="1121"/>
      <c r="G12" s="1121"/>
      <c r="H12" s="1121"/>
      <c r="I12" s="1121"/>
      <c r="J12" s="1121"/>
      <c r="K12" s="1121"/>
      <c r="L12" s="480"/>
      <c r="M12" s="997"/>
      <c r="N12" s="118"/>
      <c r="O12" s="118"/>
      <c r="P12" s="118"/>
    </row>
    <row r="13" spans="1:16" s="132" customFormat="1" ht="15" x14ac:dyDescent="0.25">
      <c r="A13" s="938"/>
      <c r="B13" s="938"/>
      <c r="C13" s="939"/>
      <c r="D13" s="938"/>
      <c r="E13" s="938"/>
      <c r="F13" s="940"/>
      <c r="G13" s="938"/>
      <c r="H13" s="940"/>
      <c r="I13" s="941"/>
      <c r="J13" s="942"/>
      <c r="K13" s="942"/>
      <c r="L13" s="480"/>
      <c r="M13" s="997"/>
      <c r="N13" s="118"/>
      <c r="O13" s="118"/>
      <c r="P13" s="118"/>
    </row>
    <row r="14" spans="1:16" s="132" customFormat="1" ht="15" x14ac:dyDescent="0.25">
      <c r="A14" s="173"/>
      <c r="B14" s="173"/>
      <c r="C14" s="943"/>
      <c r="D14" s="173"/>
      <c r="E14" s="173"/>
      <c r="F14" s="944"/>
      <c r="G14" s="173"/>
      <c r="H14" s="944"/>
      <c r="I14" s="945"/>
      <c r="J14" s="124"/>
      <c r="K14" s="124"/>
      <c r="L14" s="480"/>
      <c r="M14" s="997"/>
      <c r="N14" s="118"/>
      <c r="O14" s="118"/>
      <c r="P14" s="118"/>
    </row>
    <row r="15" spans="1:16" s="132" customFormat="1" ht="15" x14ac:dyDescent="0.25">
      <c r="A15" s="1122" t="s">
        <v>214</v>
      </c>
      <c r="B15" s="1122"/>
      <c r="C15" s="1122"/>
      <c r="D15" s="1122"/>
      <c r="E15" s="1122"/>
      <c r="F15" s="1122"/>
      <c r="G15" s="1122"/>
      <c r="H15" s="1122"/>
      <c r="I15" s="1122"/>
      <c r="J15" s="1122"/>
      <c r="K15" s="1122"/>
      <c r="M15" s="997"/>
      <c r="N15" s="118"/>
      <c r="O15" s="118"/>
      <c r="P15" s="118"/>
    </row>
    <row r="16" spans="1:16" s="132" customFormat="1" ht="15" x14ac:dyDescent="0.25">
      <c r="A16" s="946"/>
      <c r="B16" s="946"/>
      <c r="C16" s="946"/>
      <c r="D16" s="946"/>
      <c r="E16" s="946"/>
      <c r="F16" s="947"/>
      <c r="G16" s="946"/>
      <c r="H16" s="946"/>
      <c r="I16" s="946"/>
      <c r="J16" s="946"/>
      <c r="K16" s="946"/>
      <c r="M16" s="997"/>
      <c r="N16" s="118"/>
      <c r="O16" s="118"/>
      <c r="P16" s="118"/>
    </row>
    <row r="17" spans="1:16" s="132" customFormat="1" ht="15" x14ac:dyDescent="0.25">
      <c r="A17" s="1122" t="s">
        <v>181</v>
      </c>
      <c r="B17" s="1122"/>
      <c r="C17" s="1122"/>
      <c r="D17" s="1122"/>
      <c r="E17" s="1122"/>
      <c r="F17" s="1122"/>
      <c r="G17" s="1122"/>
      <c r="H17" s="1122"/>
      <c r="I17" s="1122"/>
      <c r="J17" s="1122"/>
      <c r="K17" s="1122"/>
      <c r="L17" s="948"/>
      <c r="M17" s="997"/>
      <c r="N17" s="118"/>
      <c r="O17" s="118"/>
      <c r="P17" s="118"/>
    </row>
    <row r="18" spans="1:16" s="132" customFormat="1" ht="15" x14ac:dyDescent="0.25">
      <c r="A18" s="119"/>
      <c r="B18" s="119"/>
      <c r="C18" s="119"/>
      <c r="D18" s="119"/>
      <c r="E18" s="119"/>
      <c r="F18" s="140"/>
      <c r="G18" s="140"/>
      <c r="H18" s="949"/>
      <c r="I18" s="141"/>
      <c r="J18" s="141"/>
      <c r="K18" s="121"/>
      <c r="L18" s="948"/>
      <c r="M18" s="997"/>
      <c r="N18" s="118"/>
      <c r="O18" s="118"/>
      <c r="P18" s="118"/>
    </row>
    <row r="19" spans="1:16" s="132" customFormat="1" ht="15" x14ac:dyDescent="0.25">
      <c r="A19" s="895"/>
      <c r="B19" s="119"/>
      <c r="C19" s="119"/>
      <c r="D19" s="119" t="s">
        <v>1084</v>
      </c>
      <c r="E19" s="119"/>
      <c r="F19" s="140"/>
      <c r="G19" s="140"/>
      <c r="H19" s="949"/>
      <c r="I19" s="141"/>
      <c r="J19" s="141"/>
      <c r="K19" s="121"/>
      <c r="L19" s="948"/>
      <c r="M19" s="997"/>
      <c r="N19" s="118"/>
      <c r="O19" s="118"/>
      <c r="P19" s="118"/>
    </row>
    <row r="20" spans="1:16" s="132" customFormat="1" ht="15" x14ac:dyDescent="0.25">
      <c r="A20" s="119" t="s">
        <v>1085</v>
      </c>
      <c r="B20" s="119"/>
      <c r="C20" s="119"/>
      <c r="D20" s="119"/>
      <c r="E20" s="119"/>
      <c r="F20" s="140"/>
      <c r="G20" s="140"/>
      <c r="H20" s="949"/>
      <c r="I20" s="141"/>
      <c r="J20" s="141"/>
      <c r="K20" s="121"/>
      <c r="L20" s="948"/>
      <c r="M20" s="997"/>
      <c r="N20" s="118"/>
      <c r="O20" s="118"/>
      <c r="P20" s="118"/>
    </row>
    <row r="21" spans="1:16" s="132" customFormat="1" ht="15" x14ac:dyDescent="0.25">
      <c r="A21" s="119"/>
      <c r="B21" s="119"/>
      <c r="C21" s="119"/>
      <c r="D21" s="119"/>
      <c r="E21" s="119"/>
      <c r="F21" s="140"/>
      <c r="G21" s="140"/>
      <c r="H21" s="949"/>
      <c r="I21" s="141"/>
      <c r="J21" s="141"/>
      <c r="K21" s="121"/>
      <c r="L21" s="948"/>
      <c r="M21" s="997"/>
      <c r="N21" s="118"/>
      <c r="O21" s="118"/>
      <c r="P21" s="118"/>
    </row>
    <row r="22" spans="1:16" s="132" customFormat="1" ht="15" x14ac:dyDescent="0.25">
      <c r="A22" s="1122" t="s">
        <v>732</v>
      </c>
      <c r="B22" s="1122"/>
      <c r="C22" s="1122"/>
      <c r="D22" s="1122"/>
      <c r="E22" s="1122"/>
      <c r="F22" s="1122"/>
      <c r="G22" s="1122"/>
      <c r="H22" s="1122"/>
      <c r="I22" s="1122"/>
      <c r="J22" s="1122"/>
      <c r="K22" s="1122"/>
      <c r="L22" s="948"/>
      <c r="M22" s="997"/>
      <c r="N22" s="118"/>
      <c r="O22" s="118"/>
      <c r="P22" s="118"/>
    </row>
    <row r="23" spans="1:16" s="132" customFormat="1" ht="15" x14ac:dyDescent="0.25">
      <c r="A23" s="119"/>
      <c r="B23" s="119"/>
      <c r="C23" s="119"/>
      <c r="D23" s="119"/>
      <c r="E23" s="119"/>
      <c r="F23" s="140"/>
      <c r="G23" s="140"/>
      <c r="H23" s="949"/>
      <c r="I23" s="141"/>
      <c r="J23" s="141"/>
      <c r="K23" s="121"/>
      <c r="L23" s="948"/>
      <c r="M23" s="997"/>
      <c r="N23" s="118"/>
      <c r="O23" s="118"/>
      <c r="P23" s="118"/>
    </row>
    <row r="24" spans="1:16" s="132" customFormat="1" ht="15" x14ac:dyDescent="0.25">
      <c r="A24" s="951"/>
      <c r="B24" s="951"/>
      <c r="C24" s="951"/>
      <c r="D24" s="1113" t="s">
        <v>1007</v>
      </c>
      <c r="E24" s="951"/>
      <c r="F24" s="952"/>
      <c r="G24" s="952"/>
      <c r="H24" s="953"/>
      <c r="I24" s="954"/>
      <c r="J24" s="954"/>
      <c r="K24" s="59"/>
      <c r="L24" s="930"/>
      <c r="M24" s="997"/>
      <c r="N24" s="118"/>
      <c r="O24" s="118"/>
      <c r="P24" s="118"/>
    </row>
    <row r="25" spans="1:16" s="132" customFormat="1" ht="15" x14ac:dyDescent="0.25">
      <c r="A25" s="1113" t="s">
        <v>1008</v>
      </c>
      <c r="B25" s="951"/>
      <c r="C25" s="951"/>
      <c r="D25" s="951"/>
      <c r="E25" s="951"/>
      <c r="F25" s="955"/>
      <c r="G25" s="952"/>
      <c r="H25" s="953"/>
      <c r="I25" s="954"/>
      <c r="J25" s="954"/>
      <c r="K25" s="59"/>
      <c r="L25" s="930"/>
      <c r="M25" s="997"/>
      <c r="N25" s="118"/>
      <c r="O25" s="118"/>
      <c r="P25" s="118"/>
    </row>
    <row r="26" spans="1:16" s="132" customFormat="1" ht="15" x14ac:dyDescent="0.25">
      <c r="A26" s="895"/>
      <c r="B26" s="895"/>
      <c r="C26" s="895"/>
      <c r="D26" s="895"/>
      <c r="E26" s="895"/>
      <c r="F26" s="846"/>
      <c r="G26" s="846"/>
      <c r="H26" s="931"/>
      <c r="I26" s="870"/>
      <c r="J26" s="870"/>
      <c r="K26" s="59"/>
      <c r="L26" s="930"/>
      <c r="M26" s="997"/>
      <c r="N26" s="118"/>
      <c r="O26" s="118"/>
      <c r="P26" s="118"/>
    </row>
    <row r="27" spans="1:16" s="132" customFormat="1" ht="15" x14ac:dyDescent="0.25">
      <c r="A27" s="932"/>
      <c r="B27" s="932"/>
      <c r="C27" s="933"/>
      <c r="D27" s="932"/>
      <c r="E27" s="932"/>
      <c r="F27" s="934"/>
      <c r="G27" s="932"/>
      <c r="H27" s="934"/>
      <c r="I27" s="935"/>
      <c r="J27" s="936"/>
      <c r="K27" s="936"/>
      <c r="L27" s="924"/>
      <c r="M27" s="998"/>
      <c r="N27" s="118"/>
      <c r="O27" s="118"/>
      <c r="P27" s="118"/>
    </row>
    <row r="28" spans="1:16" s="132" customFormat="1" ht="15" x14ac:dyDescent="0.25">
      <c r="A28" s="529"/>
      <c r="B28" s="529"/>
      <c r="C28" s="394"/>
      <c r="D28" s="529"/>
      <c r="E28" s="23"/>
      <c r="F28" s="394"/>
      <c r="G28" s="22"/>
      <c r="H28" s="530"/>
      <c r="I28" s="531"/>
      <c r="J28" s="504"/>
      <c r="K28" s="504"/>
      <c r="L28" s="504"/>
      <c r="M28" s="992"/>
      <c r="N28" s="118"/>
      <c r="O28" s="118"/>
      <c r="P28" s="118"/>
    </row>
    <row r="29" spans="1:16" s="132" customFormat="1" ht="59.25" x14ac:dyDescent="0.25">
      <c r="A29" s="489"/>
      <c r="B29" s="489"/>
      <c r="C29" s="1031"/>
      <c r="D29" s="1032"/>
      <c r="E29" s="1033"/>
      <c r="F29" s="1034"/>
      <c r="G29" s="1035"/>
      <c r="H29" s="490" t="s">
        <v>0</v>
      </c>
      <c r="I29" s="1036" t="s">
        <v>117</v>
      </c>
      <c r="J29" s="1037" t="s">
        <v>778</v>
      </c>
      <c r="K29" s="1037" t="s">
        <v>694</v>
      </c>
      <c r="L29" s="492" t="s">
        <v>312</v>
      </c>
      <c r="M29" s="992"/>
      <c r="N29" s="118"/>
      <c r="O29" s="118"/>
      <c r="P29" s="118"/>
    </row>
    <row r="30" spans="1:16" s="132" customFormat="1" ht="15" x14ac:dyDescent="0.25">
      <c r="A30" s="1038"/>
      <c r="B30" s="1038"/>
      <c r="C30" s="1039">
        <v>1</v>
      </c>
      <c r="D30" s="1038"/>
      <c r="E30" s="1038"/>
      <c r="F30" s="1038"/>
      <c r="G30" s="1040"/>
      <c r="H30" s="1039">
        <v>2</v>
      </c>
      <c r="I30" s="1041">
        <v>3</v>
      </c>
      <c r="J30" s="1039">
        <v>4</v>
      </c>
      <c r="K30" s="1039">
        <v>5</v>
      </c>
      <c r="L30" s="1039">
        <v>6</v>
      </c>
      <c r="M30" s="999"/>
      <c r="N30" s="118"/>
      <c r="O30" s="118"/>
      <c r="P30" s="118"/>
    </row>
    <row r="31" spans="1:16" s="132" customFormat="1" ht="15" x14ac:dyDescent="0.25">
      <c r="A31" s="1042"/>
      <c r="B31" s="1043"/>
      <c r="C31" s="115">
        <v>711</v>
      </c>
      <c r="D31" s="115"/>
      <c r="E31" s="1044"/>
      <c r="F31" s="115"/>
      <c r="G31" s="1045"/>
      <c r="H31" s="1046"/>
      <c r="I31" s="1047" t="s">
        <v>118</v>
      </c>
      <c r="J31" s="299">
        <f>SUM(J32:J37)</f>
        <v>1357500000</v>
      </c>
      <c r="K31" s="299"/>
      <c r="L31" s="49">
        <f t="shared" ref="L31:L42" si="0">SUM(J31+K31)</f>
        <v>1357500000</v>
      </c>
      <c r="M31" s="1000"/>
      <c r="N31" s="118"/>
      <c r="O31" s="118"/>
      <c r="P31" s="118"/>
    </row>
    <row r="32" spans="1:16" x14ac:dyDescent="0.2">
      <c r="A32" s="1048"/>
      <c r="B32" s="1049"/>
      <c r="C32" s="284"/>
      <c r="D32" s="1048"/>
      <c r="E32" s="47"/>
      <c r="F32" s="284"/>
      <c r="G32" s="1050"/>
      <c r="H32" s="286">
        <v>711110</v>
      </c>
      <c r="I32" s="39" t="s">
        <v>119</v>
      </c>
      <c r="J32" s="51">
        <v>950000000</v>
      </c>
      <c r="K32" s="51"/>
      <c r="L32" s="51">
        <f t="shared" si="0"/>
        <v>950000000</v>
      </c>
      <c r="M32" s="1000"/>
    </row>
    <row r="33" spans="1:16" s="142" customFormat="1" ht="18" customHeight="1" x14ac:dyDescent="0.2">
      <c r="A33" s="1048"/>
      <c r="B33" s="1049"/>
      <c r="C33" s="284"/>
      <c r="D33" s="1048"/>
      <c r="E33" s="47"/>
      <c r="F33" s="284"/>
      <c r="G33" s="1"/>
      <c r="H33" s="286">
        <v>711120</v>
      </c>
      <c r="I33" s="40" t="s">
        <v>120</v>
      </c>
      <c r="J33" s="51">
        <v>230000000</v>
      </c>
      <c r="K33" s="51"/>
      <c r="L33" s="51">
        <f t="shared" si="0"/>
        <v>230000000</v>
      </c>
      <c r="M33" s="1000"/>
      <c r="N33" s="823"/>
      <c r="O33" s="16"/>
      <c r="P33" s="140"/>
    </row>
    <row r="34" spans="1:16" s="534" customFormat="1" x14ac:dyDescent="0.2">
      <c r="A34" s="1048"/>
      <c r="B34" s="1049"/>
      <c r="C34" s="284"/>
      <c r="D34" s="1048"/>
      <c r="E34" s="47"/>
      <c r="F34" s="284"/>
      <c r="G34" s="1"/>
      <c r="H34" s="286">
        <v>711140</v>
      </c>
      <c r="I34" s="40" t="s">
        <v>121</v>
      </c>
      <c r="J34" s="51">
        <v>10000000</v>
      </c>
      <c r="K34" s="51"/>
      <c r="L34" s="51">
        <f t="shared" si="0"/>
        <v>10000000</v>
      </c>
      <c r="M34" s="1000"/>
      <c r="N34" s="824"/>
      <c r="O34" s="532"/>
      <c r="P34" s="825"/>
    </row>
    <row r="35" spans="1:16" x14ac:dyDescent="0.2">
      <c r="A35" s="1048"/>
      <c r="B35" s="1049"/>
      <c r="C35" s="284"/>
      <c r="D35" s="1048"/>
      <c r="E35" s="47"/>
      <c r="F35" s="284"/>
      <c r="G35" s="22"/>
      <c r="H35" s="286">
        <v>711160</v>
      </c>
      <c r="I35" s="40" t="s">
        <v>122</v>
      </c>
      <c r="J35" s="51">
        <v>1000000</v>
      </c>
      <c r="K35" s="51"/>
      <c r="L35" s="51">
        <f t="shared" si="0"/>
        <v>1000000</v>
      </c>
      <c r="M35" s="1000"/>
    </row>
    <row r="36" spans="1:16" x14ac:dyDescent="0.2">
      <c r="A36" s="1048"/>
      <c r="B36" s="1049"/>
      <c r="C36" s="284"/>
      <c r="D36" s="1048"/>
      <c r="E36" s="47"/>
      <c r="F36" s="284"/>
      <c r="G36" s="1"/>
      <c r="H36" s="1051">
        <v>711180</v>
      </c>
      <c r="I36" s="1052" t="s">
        <v>123</v>
      </c>
      <c r="J36" s="107">
        <v>6000000</v>
      </c>
      <c r="K36" s="107"/>
      <c r="L36" s="107">
        <f t="shared" si="0"/>
        <v>6000000</v>
      </c>
      <c r="M36" s="1000"/>
    </row>
    <row r="37" spans="1:16" x14ac:dyDescent="0.2">
      <c r="A37" s="1048"/>
      <c r="B37" s="1049"/>
      <c r="C37" s="284"/>
      <c r="D37" s="1048"/>
      <c r="E37" s="47"/>
      <c r="F37" s="284"/>
      <c r="G37" s="22"/>
      <c r="H37" s="286">
        <v>711190</v>
      </c>
      <c r="I37" s="40" t="s">
        <v>124</v>
      </c>
      <c r="J37" s="51">
        <f>150000000+10500000</f>
        <v>160500000</v>
      </c>
      <c r="K37" s="51"/>
      <c r="L37" s="51">
        <f t="shared" si="0"/>
        <v>160500000</v>
      </c>
      <c r="M37" s="1000"/>
    </row>
    <row r="38" spans="1:16" x14ac:dyDescent="0.2">
      <c r="A38" s="1053"/>
      <c r="B38" s="1053"/>
      <c r="C38" s="115">
        <v>713</v>
      </c>
      <c r="D38" s="115"/>
      <c r="E38" s="1044"/>
      <c r="F38" s="115"/>
      <c r="G38" s="1045"/>
      <c r="H38" s="1054"/>
      <c r="I38" s="102" t="s">
        <v>125</v>
      </c>
      <c r="J38" s="299">
        <f>SUM(J39:J42)</f>
        <v>675100000</v>
      </c>
      <c r="K38" s="299"/>
      <c r="L38" s="49">
        <f t="shared" si="0"/>
        <v>675100000</v>
      </c>
      <c r="M38" s="1000"/>
    </row>
    <row r="39" spans="1:16" x14ac:dyDescent="0.2">
      <c r="A39" s="1048"/>
      <c r="B39" s="1049"/>
      <c r="C39" s="284"/>
      <c r="D39" s="1048"/>
      <c r="E39" s="47"/>
      <c r="F39" s="284"/>
      <c r="G39" s="1"/>
      <c r="H39" s="286">
        <v>713120</v>
      </c>
      <c r="I39" s="40" t="s">
        <v>126</v>
      </c>
      <c r="J39" s="51">
        <v>480000000</v>
      </c>
      <c r="K39" s="51"/>
      <c r="L39" s="51">
        <f t="shared" si="0"/>
        <v>480000000</v>
      </c>
      <c r="M39" s="1000"/>
    </row>
    <row r="40" spans="1:16" x14ac:dyDescent="0.2">
      <c r="A40" s="1048"/>
      <c r="B40" s="1049"/>
      <c r="C40" s="284"/>
      <c r="D40" s="1048"/>
      <c r="E40" s="47"/>
      <c r="F40" s="284"/>
      <c r="G40" s="1"/>
      <c r="H40" s="286">
        <v>713310</v>
      </c>
      <c r="I40" s="40" t="s">
        <v>127</v>
      </c>
      <c r="J40" s="51">
        <v>15000000</v>
      </c>
      <c r="K40" s="51"/>
      <c r="L40" s="51">
        <f t="shared" si="0"/>
        <v>15000000</v>
      </c>
      <c r="M40" s="1000"/>
    </row>
    <row r="41" spans="1:16" x14ac:dyDescent="0.2">
      <c r="A41" s="1048"/>
      <c r="B41" s="1049"/>
      <c r="C41" s="284"/>
      <c r="D41" s="1048"/>
      <c r="E41" s="47"/>
      <c r="F41" s="284"/>
      <c r="G41" s="1"/>
      <c r="H41" s="286">
        <v>713420</v>
      </c>
      <c r="I41" s="40" t="s">
        <v>128</v>
      </c>
      <c r="J41" s="51">
        <v>180000000</v>
      </c>
      <c r="K41" s="51"/>
      <c r="L41" s="51">
        <f t="shared" si="0"/>
        <v>180000000</v>
      </c>
      <c r="M41" s="1000"/>
    </row>
    <row r="42" spans="1:16" x14ac:dyDescent="0.2">
      <c r="A42" s="1048"/>
      <c r="B42" s="1049"/>
      <c r="C42" s="284"/>
      <c r="D42" s="1048"/>
      <c r="E42" s="47"/>
      <c r="F42" s="284"/>
      <c r="G42" s="1"/>
      <c r="H42" s="286">
        <v>713610</v>
      </c>
      <c r="I42" s="40" t="s">
        <v>129</v>
      </c>
      <c r="J42" s="51">
        <v>100000</v>
      </c>
      <c r="K42" s="51"/>
      <c r="L42" s="51">
        <f t="shared" si="0"/>
        <v>100000</v>
      </c>
    </row>
    <row r="43" spans="1:16" x14ac:dyDescent="0.2">
      <c r="A43" s="1053"/>
      <c r="B43" s="1053"/>
      <c r="C43" s="115">
        <v>714</v>
      </c>
      <c r="D43" s="115"/>
      <c r="E43" s="1044"/>
      <c r="F43" s="115"/>
      <c r="G43" s="1045"/>
      <c r="H43" s="1054"/>
      <c r="I43" s="102" t="s">
        <v>130</v>
      </c>
      <c r="J43" s="299">
        <f>SUM(J44:J50)</f>
        <v>187150000</v>
      </c>
      <c r="K43" s="299"/>
      <c r="L43" s="49">
        <f t="shared" ref="L43:L63" si="1">SUM(J43:K43)</f>
        <v>187150000</v>
      </c>
      <c r="M43" s="1000"/>
    </row>
    <row r="44" spans="1:16" ht="22.5" x14ac:dyDescent="0.2">
      <c r="A44" s="1055"/>
      <c r="B44" s="1055"/>
      <c r="C44" s="406"/>
      <c r="D44" s="406"/>
      <c r="E44" s="227"/>
      <c r="F44" s="406"/>
      <c r="G44" s="19"/>
      <c r="H44" s="313">
        <v>714420</v>
      </c>
      <c r="I44" s="1056" t="s">
        <v>713</v>
      </c>
      <c r="J44" s="51">
        <v>150000</v>
      </c>
      <c r="K44" s="52"/>
      <c r="L44" s="51">
        <f t="shared" si="1"/>
        <v>150000</v>
      </c>
      <c r="M44" s="1000"/>
    </row>
    <row r="45" spans="1:16" x14ac:dyDescent="0.2">
      <c r="A45" s="1049"/>
      <c r="B45" s="1049"/>
      <c r="C45" s="284"/>
      <c r="D45" s="284"/>
      <c r="E45" s="47"/>
      <c r="F45" s="284"/>
      <c r="G45" s="1"/>
      <c r="H45" s="286">
        <v>714430</v>
      </c>
      <c r="I45" s="40" t="s">
        <v>131</v>
      </c>
      <c r="J45" s="51">
        <v>5000000</v>
      </c>
      <c r="K45" s="51"/>
      <c r="L45" s="51">
        <f t="shared" si="1"/>
        <v>5000000</v>
      </c>
    </row>
    <row r="46" spans="1:16" x14ac:dyDescent="0.2">
      <c r="A46" s="1048"/>
      <c r="B46" s="1049"/>
      <c r="C46" s="284"/>
      <c r="D46" s="1048"/>
      <c r="E46" s="47"/>
      <c r="F46" s="284"/>
      <c r="G46" s="1"/>
      <c r="H46" s="286">
        <v>714510</v>
      </c>
      <c r="I46" s="39" t="s">
        <v>132</v>
      </c>
      <c r="J46" s="51">
        <v>90000000</v>
      </c>
      <c r="K46" s="51"/>
      <c r="L46" s="51">
        <f t="shared" si="1"/>
        <v>90000000</v>
      </c>
    </row>
    <row r="47" spans="1:16" x14ac:dyDescent="0.2">
      <c r="A47" s="1048"/>
      <c r="B47" s="1049"/>
      <c r="C47" s="284"/>
      <c r="D47" s="1048"/>
      <c r="E47" s="47"/>
      <c r="F47" s="284"/>
      <c r="G47" s="1"/>
      <c r="H47" s="286">
        <v>714540</v>
      </c>
      <c r="I47" s="39" t="s">
        <v>133</v>
      </c>
      <c r="J47" s="51">
        <v>10000000</v>
      </c>
      <c r="K47" s="51"/>
      <c r="L47" s="51">
        <f t="shared" si="1"/>
        <v>10000000</v>
      </c>
    </row>
    <row r="48" spans="1:16" x14ac:dyDescent="0.2">
      <c r="A48" s="1048"/>
      <c r="B48" s="1049"/>
      <c r="C48" s="284"/>
      <c r="D48" s="1048"/>
      <c r="E48" s="47"/>
      <c r="F48" s="284"/>
      <c r="G48" s="1"/>
      <c r="H48" s="286">
        <v>714550</v>
      </c>
      <c r="I48" s="39" t="s">
        <v>134</v>
      </c>
      <c r="J48" s="51">
        <v>1000000</v>
      </c>
      <c r="K48" s="51"/>
      <c r="L48" s="51">
        <f t="shared" si="1"/>
        <v>1000000</v>
      </c>
    </row>
    <row r="49" spans="1:13" x14ac:dyDescent="0.2">
      <c r="A49" s="1048"/>
      <c r="B49" s="1049"/>
      <c r="C49" s="284"/>
      <c r="D49" s="1048"/>
      <c r="E49" s="47"/>
      <c r="F49" s="284"/>
      <c r="G49" s="1"/>
      <c r="H49" s="286">
        <v>714560</v>
      </c>
      <c r="I49" s="39" t="s">
        <v>135</v>
      </c>
      <c r="J49" s="51">
        <v>80000000</v>
      </c>
      <c r="K49" s="51"/>
      <c r="L49" s="51">
        <f t="shared" si="1"/>
        <v>80000000</v>
      </c>
    </row>
    <row r="50" spans="1:13" x14ac:dyDescent="0.2">
      <c r="A50" s="1048"/>
      <c r="B50" s="1049"/>
      <c r="C50" s="284"/>
      <c r="D50" s="1048"/>
      <c r="E50" s="47"/>
      <c r="F50" s="284"/>
      <c r="G50" s="1"/>
      <c r="H50" s="286">
        <v>714570</v>
      </c>
      <c r="I50" s="39" t="s">
        <v>136</v>
      </c>
      <c r="J50" s="51">
        <v>1000000</v>
      </c>
      <c r="K50" s="51"/>
      <c r="L50" s="51">
        <f t="shared" si="1"/>
        <v>1000000</v>
      </c>
    </row>
    <row r="51" spans="1:13" x14ac:dyDescent="0.2">
      <c r="A51" s="1053"/>
      <c r="B51" s="1053"/>
      <c r="C51" s="115">
        <v>716</v>
      </c>
      <c r="D51" s="115"/>
      <c r="E51" s="1044"/>
      <c r="F51" s="115"/>
      <c r="G51" s="1045"/>
      <c r="H51" s="1054"/>
      <c r="I51" s="1047" t="s">
        <v>137</v>
      </c>
      <c r="J51" s="299">
        <f>SUM(J52)</f>
        <v>90000000</v>
      </c>
      <c r="K51" s="299"/>
      <c r="L51" s="49">
        <f t="shared" si="1"/>
        <v>90000000</v>
      </c>
      <c r="M51" s="1000"/>
    </row>
    <row r="52" spans="1:13" x14ac:dyDescent="0.2">
      <c r="A52" s="1048"/>
      <c r="B52" s="1049"/>
      <c r="C52" s="284"/>
      <c r="D52" s="1048"/>
      <c r="E52" s="47"/>
      <c r="F52" s="284"/>
      <c r="G52" s="1057"/>
      <c r="H52" s="286">
        <v>716110</v>
      </c>
      <c r="I52" s="39" t="s">
        <v>138</v>
      </c>
      <c r="J52" s="51">
        <v>90000000</v>
      </c>
      <c r="K52" s="51"/>
      <c r="L52" s="51">
        <f t="shared" si="1"/>
        <v>90000000</v>
      </c>
    </row>
    <row r="53" spans="1:13" x14ac:dyDescent="0.2">
      <c r="A53" s="1058"/>
      <c r="B53" s="1053"/>
      <c r="C53" s="115">
        <v>732</v>
      </c>
      <c r="D53" s="115"/>
      <c r="E53" s="1044"/>
      <c r="F53" s="115"/>
      <c r="G53" s="1045"/>
      <c r="H53" s="1054"/>
      <c r="I53" s="1047" t="s">
        <v>139</v>
      </c>
      <c r="J53" s="299">
        <f>SUM(J54:J55)</f>
        <v>42484886.32</v>
      </c>
      <c r="K53" s="299"/>
      <c r="L53" s="49">
        <f t="shared" si="1"/>
        <v>42484886.32</v>
      </c>
      <c r="M53" s="1000"/>
    </row>
    <row r="54" spans="1:13" x14ac:dyDescent="0.2">
      <c r="A54" s="1048"/>
      <c r="B54" s="1049"/>
      <c r="C54" s="284"/>
      <c r="D54" s="1048"/>
      <c r="E54" s="47"/>
      <c r="F54" s="284"/>
      <c r="G54" s="1"/>
      <c r="H54" s="286">
        <v>732150</v>
      </c>
      <c r="I54" s="39" t="s">
        <v>140</v>
      </c>
      <c r="J54" s="51">
        <f>2824886.32+2900000</f>
        <v>5724886.3200000003</v>
      </c>
      <c r="K54" s="51"/>
      <c r="L54" s="51">
        <f t="shared" si="1"/>
        <v>5724886.3200000003</v>
      </c>
    </row>
    <row r="55" spans="1:13" x14ac:dyDescent="0.2">
      <c r="A55" s="1048"/>
      <c r="B55" s="1049"/>
      <c r="C55" s="284"/>
      <c r="D55" s="1048"/>
      <c r="E55" s="47"/>
      <c r="F55" s="284"/>
      <c r="G55" s="1"/>
      <c r="H55" s="286">
        <v>732250</v>
      </c>
      <c r="I55" s="39" t="s">
        <v>141</v>
      </c>
      <c r="J55" s="51">
        <v>36760000</v>
      </c>
      <c r="K55" s="51"/>
      <c r="L55" s="51">
        <f>SUM(J55:K55)</f>
        <v>36760000</v>
      </c>
    </row>
    <row r="56" spans="1:13" x14ac:dyDescent="0.2">
      <c r="A56" s="1053"/>
      <c r="B56" s="1053"/>
      <c r="C56" s="115">
        <v>733</v>
      </c>
      <c r="D56" s="115"/>
      <c r="E56" s="1044"/>
      <c r="F56" s="115"/>
      <c r="G56" s="1045"/>
      <c r="H56" s="1054"/>
      <c r="I56" s="1047" t="s">
        <v>142</v>
      </c>
      <c r="J56" s="299">
        <f>SUM(J57:J58)</f>
        <v>1184367114.8</v>
      </c>
      <c r="K56" s="299">
        <f>SUM(K57:K58)</f>
        <v>2500000</v>
      </c>
      <c r="L56" s="49">
        <f t="shared" si="1"/>
        <v>1186867114.8</v>
      </c>
      <c r="M56" s="1000"/>
    </row>
    <row r="57" spans="1:13" x14ac:dyDescent="0.2">
      <c r="A57" s="1048"/>
      <c r="B57" s="1049"/>
      <c r="C57" s="284"/>
      <c r="D57" s="1048"/>
      <c r="E57" s="47"/>
      <c r="F57" s="284"/>
      <c r="G57" s="1"/>
      <c r="H57" s="286">
        <v>733150</v>
      </c>
      <c r="I57" s="39" t="s">
        <v>409</v>
      </c>
      <c r="J57" s="51">
        <f>516069750-1331050</f>
        <v>514738700</v>
      </c>
      <c r="K57" s="51">
        <v>2500000</v>
      </c>
      <c r="L57" s="51">
        <f t="shared" si="1"/>
        <v>517238700</v>
      </c>
    </row>
    <row r="58" spans="1:13" x14ac:dyDescent="0.2">
      <c r="A58" s="1048"/>
      <c r="B58" s="1049"/>
      <c r="C58" s="284"/>
      <c r="D58" s="1048"/>
      <c r="E58" s="47"/>
      <c r="F58" s="284"/>
      <c r="G58" s="1"/>
      <c r="H58" s="286">
        <v>733250</v>
      </c>
      <c r="I58" s="39" t="s">
        <v>313</v>
      </c>
      <c r="J58" s="1059">
        <f>925068364.8-120000000+27060050+7500000-170000000</f>
        <v>669628414.79999995</v>
      </c>
      <c r="K58" s="51"/>
      <c r="L58" s="51">
        <f t="shared" si="1"/>
        <v>669628414.79999995</v>
      </c>
    </row>
    <row r="59" spans="1:13" x14ac:dyDescent="0.2">
      <c r="A59" s="1053"/>
      <c r="B59" s="1053"/>
      <c r="C59" s="115">
        <v>741</v>
      </c>
      <c r="D59" s="115"/>
      <c r="E59" s="1044"/>
      <c r="F59" s="115" t="s">
        <v>143</v>
      </c>
      <c r="G59" s="1045"/>
      <c r="H59" s="1054"/>
      <c r="I59" s="1047" t="s">
        <v>144</v>
      </c>
      <c r="J59" s="299">
        <f>SUM(J60:J63)</f>
        <v>441150000</v>
      </c>
      <c r="K59" s="299"/>
      <c r="L59" s="49">
        <f t="shared" si="1"/>
        <v>441150000</v>
      </c>
      <c r="M59" s="1000"/>
    </row>
    <row r="60" spans="1:13" x14ac:dyDescent="0.2">
      <c r="A60" s="1049"/>
      <c r="B60" s="1049"/>
      <c r="C60" s="284"/>
      <c r="D60" s="284"/>
      <c r="E60" s="47"/>
      <c r="F60" s="284"/>
      <c r="G60" s="1"/>
      <c r="H60" s="286">
        <v>741150</v>
      </c>
      <c r="I60" s="39" t="s">
        <v>145</v>
      </c>
      <c r="J60" s="51">
        <v>150000</v>
      </c>
      <c r="K60" s="51"/>
      <c r="L60" s="51">
        <f t="shared" si="1"/>
        <v>150000</v>
      </c>
    </row>
    <row r="61" spans="1:13" x14ac:dyDescent="0.2">
      <c r="A61" s="1049"/>
      <c r="B61" s="1049"/>
      <c r="C61" s="284"/>
      <c r="D61" s="284"/>
      <c r="E61" s="47"/>
      <c r="F61" s="284"/>
      <c r="G61" s="1"/>
      <c r="H61" s="286">
        <v>741510</v>
      </c>
      <c r="I61" s="39" t="s">
        <v>714</v>
      </c>
      <c r="J61" s="51">
        <v>1000000</v>
      </c>
      <c r="K61" s="51"/>
      <c r="L61" s="51">
        <f t="shared" si="1"/>
        <v>1000000</v>
      </c>
    </row>
    <row r="62" spans="1:13" x14ac:dyDescent="0.2">
      <c r="A62" s="1048"/>
      <c r="B62" s="1049"/>
      <c r="C62" s="284"/>
      <c r="D62" s="1048"/>
      <c r="E62" s="47"/>
      <c r="F62" s="284"/>
      <c r="G62" s="1"/>
      <c r="H62" s="286">
        <v>741520</v>
      </c>
      <c r="I62" s="39" t="s">
        <v>146</v>
      </c>
      <c r="J62" s="51">
        <v>220000000</v>
      </c>
      <c r="K62" s="51"/>
      <c r="L62" s="51">
        <f t="shared" si="1"/>
        <v>220000000</v>
      </c>
    </row>
    <row r="63" spans="1:13" x14ac:dyDescent="0.2">
      <c r="A63" s="1048"/>
      <c r="B63" s="1049"/>
      <c r="C63" s="284"/>
      <c r="D63" s="1048"/>
      <c r="E63" s="47"/>
      <c r="F63" s="284"/>
      <c r="G63" s="1"/>
      <c r="H63" s="286">
        <v>741530</v>
      </c>
      <c r="I63" s="39" t="s">
        <v>147</v>
      </c>
      <c r="J63" s="51">
        <v>220000000</v>
      </c>
      <c r="K63" s="51"/>
      <c r="L63" s="51">
        <f t="shared" si="1"/>
        <v>220000000</v>
      </c>
    </row>
    <row r="64" spans="1:13" x14ac:dyDescent="0.2">
      <c r="A64" s="1053"/>
      <c r="B64" s="1053"/>
      <c r="C64" s="115">
        <v>742</v>
      </c>
      <c r="D64" s="115"/>
      <c r="E64" s="1044"/>
      <c r="F64" s="115"/>
      <c r="G64" s="1045"/>
      <c r="H64" s="1054"/>
      <c r="I64" s="1047" t="s">
        <v>148</v>
      </c>
      <c r="J64" s="299">
        <f>SUM(J65:J69)</f>
        <v>306600000</v>
      </c>
      <c r="K64" s="299">
        <f>SUM(K66:K69)</f>
        <v>8866800</v>
      </c>
      <c r="L64" s="49">
        <f>SUM(J64:K64)</f>
        <v>315466800</v>
      </c>
      <c r="M64" s="1000"/>
    </row>
    <row r="65" spans="1:16" ht="22.5" x14ac:dyDescent="0.2">
      <c r="A65" s="1055"/>
      <c r="B65" s="1055"/>
      <c r="C65" s="406"/>
      <c r="D65" s="406"/>
      <c r="E65" s="227"/>
      <c r="F65" s="406"/>
      <c r="G65" s="19"/>
      <c r="H65" s="313">
        <v>742120</v>
      </c>
      <c r="I65" s="1060" t="s">
        <v>625</v>
      </c>
      <c r="J65" s="51">
        <v>11500000</v>
      </c>
      <c r="K65" s="52"/>
      <c r="L65" s="51">
        <f>SUM(J65:K65)</f>
        <v>11500000</v>
      </c>
      <c r="M65" s="1001"/>
    </row>
    <row r="66" spans="1:16" ht="22.5" x14ac:dyDescent="0.2">
      <c r="A66" s="1049"/>
      <c r="B66" s="1049"/>
      <c r="C66" s="284"/>
      <c r="D66" s="284"/>
      <c r="E66" s="47"/>
      <c r="F66" s="284"/>
      <c r="G66" s="1"/>
      <c r="H66" s="286">
        <v>742150</v>
      </c>
      <c r="I66" s="1061" t="s">
        <v>659</v>
      </c>
      <c r="J66" s="51">
        <v>95000000</v>
      </c>
      <c r="K66" s="51">
        <f>6216800+1150000</f>
        <v>7366800</v>
      </c>
      <c r="L66" s="51">
        <f t="shared" ref="L66:L79" si="2">SUM(J66:K66)</f>
        <v>102366800</v>
      </c>
    </row>
    <row r="67" spans="1:16" x14ac:dyDescent="0.2">
      <c r="A67" s="1048"/>
      <c r="B67" s="1049"/>
      <c r="C67" s="284"/>
      <c r="D67" s="1048"/>
      <c r="E67" s="47"/>
      <c r="F67" s="284"/>
      <c r="G67" s="1"/>
      <c r="H67" s="286">
        <v>742250</v>
      </c>
      <c r="I67" s="39" t="s">
        <v>149</v>
      </c>
      <c r="J67" s="51">
        <v>200000000</v>
      </c>
      <c r="K67" s="51"/>
      <c r="L67" s="51">
        <f t="shared" si="2"/>
        <v>200000000</v>
      </c>
    </row>
    <row r="68" spans="1:16" ht="22.5" x14ac:dyDescent="0.2">
      <c r="A68" s="1048"/>
      <c r="B68" s="1049"/>
      <c r="C68" s="284"/>
      <c r="D68" s="1048"/>
      <c r="E68" s="47"/>
      <c r="F68" s="284"/>
      <c r="G68" s="1"/>
      <c r="H68" s="286">
        <v>742350</v>
      </c>
      <c r="I68" s="1061" t="s">
        <v>314</v>
      </c>
      <c r="J68" s="51">
        <v>100000</v>
      </c>
      <c r="K68" s="51"/>
      <c r="L68" s="51">
        <f t="shared" si="2"/>
        <v>100000</v>
      </c>
    </row>
    <row r="69" spans="1:16" s="166" customFormat="1" ht="22.5" x14ac:dyDescent="0.2">
      <c r="A69" s="1048"/>
      <c r="B69" s="1049"/>
      <c r="C69" s="284"/>
      <c r="D69" s="1048"/>
      <c r="E69" s="47"/>
      <c r="F69" s="284"/>
      <c r="G69" s="1"/>
      <c r="H69" s="286">
        <v>742370</v>
      </c>
      <c r="I69" s="1061" t="s">
        <v>388</v>
      </c>
      <c r="J69" s="51"/>
      <c r="K69" s="51">
        <v>1500000</v>
      </c>
      <c r="L69" s="51">
        <f t="shared" si="2"/>
        <v>1500000</v>
      </c>
      <c r="M69" s="992"/>
      <c r="N69" s="826"/>
      <c r="O69" s="164"/>
      <c r="P69" s="143"/>
    </row>
    <row r="70" spans="1:16" ht="15" customHeight="1" x14ac:dyDescent="0.2">
      <c r="A70" s="1053"/>
      <c r="B70" s="1053"/>
      <c r="C70" s="115">
        <v>743</v>
      </c>
      <c r="D70" s="115"/>
      <c r="E70" s="1044"/>
      <c r="F70" s="115"/>
      <c r="G70" s="1045"/>
      <c r="H70" s="1054"/>
      <c r="I70" s="1047" t="s">
        <v>150</v>
      </c>
      <c r="J70" s="299">
        <f>SUM(J71:J73)</f>
        <v>17950000</v>
      </c>
      <c r="K70" s="299"/>
      <c r="L70" s="49">
        <f t="shared" si="2"/>
        <v>17950000</v>
      </c>
      <c r="M70" s="1000"/>
    </row>
    <row r="71" spans="1:16" x14ac:dyDescent="0.2">
      <c r="A71" s="1049"/>
      <c r="B71" s="1049"/>
      <c r="C71" s="284"/>
      <c r="D71" s="284"/>
      <c r="E71" s="47"/>
      <c r="F71" s="284"/>
      <c r="G71" s="1"/>
      <c r="H71" s="286">
        <v>743320</v>
      </c>
      <c r="I71" s="39" t="s">
        <v>315</v>
      </c>
      <c r="J71" s="51">
        <v>10000000</v>
      </c>
      <c r="K71" s="51"/>
      <c r="L71" s="51">
        <f t="shared" si="2"/>
        <v>10000000</v>
      </c>
    </row>
    <row r="72" spans="1:16" x14ac:dyDescent="0.2">
      <c r="A72" s="1048"/>
      <c r="B72" s="1049"/>
      <c r="C72" s="284"/>
      <c r="D72" s="1048"/>
      <c r="E72" s="47"/>
      <c r="F72" s="284"/>
      <c r="G72" s="1"/>
      <c r="H72" s="286">
        <v>743350</v>
      </c>
      <c r="I72" s="39" t="s">
        <v>151</v>
      </c>
      <c r="J72" s="51">
        <v>6450000</v>
      </c>
      <c r="K72" s="51"/>
      <c r="L72" s="51">
        <f t="shared" si="2"/>
        <v>6450000</v>
      </c>
    </row>
    <row r="73" spans="1:16" ht="22.5" x14ac:dyDescent="0.2">
      <c r="A73" s="1048"/>
      <c r="B73" s="1049"/>
      <c r="C73" s="284"/>
      <c r="D73" s="1048"/>
      <c r="E73" s="47"/>
      <c r="F73" s="284"/>
      <c r="G73" s="1"/>
      <c r="H73" s="286">
        <v>743920</v>
      </c>
      <c r="I73" s="1061" t="s">
        <v>422</v>
      </c>
      <c r="J73" s="51">
        <v>1500000</v>
      </c>
      <c r="K73" s="51"/>
      <c r="L73" s="51">
        <f t="shared" si="2"/>
        <v>1500000</v>
      </c>
    </row>
    <row r="74" spans="1:16" x14ac:dyDescent="0.2">
      <c r="A74" s="1058"/>
      <c r="B74" s="1053"/>
      <c r="C74" s="115">
        <v>744</v>
      </c>
      <c r="D74" s="1058"/>
      <c r="E74" s="1044"/>
      <c r="F74" s="115"/>
      <c r="G74" s="1045"/>
      <c r="H74" s="1054"/>
      <c r="I74" s="1047" t="s">
        <v>389</v>
      </c>
      <c r="J74" s="299"/>
      <c r="K74" s="299">
        <f>SUM(K75)</f>
        <v>500000</v>
      </c>
      <c r="L74" s="49">
        <f t="shared" si="2"/>
        <v>500000</v>
      </c>
      <c r="M74" s="1000"/>
    </row>
    <row r="75" spans="1:16" ht="22.5" x14ac:dyDescent="0.2">
      <c r="A75" s="1048"/>
      <c r="B75" s="1049"/>
      <c r="C75" s="284"/>
      <c r="D75" s="1048"/>
      <c r="E75" s="47"/>
      <c r="F75" s="284"/>
      <c r="G75" s="1"/>
      <c r="H75" s="1051">
        <v>744150</v>
      </c>
      <c r="I75" s="1062" t="s">
        <v>390</v>
      </c>
      <c r="J75" s="107"/>
      <c r="K75" s="107">
        <v>500000</v>
      </c>
      <c r="L75" s="107">
        <f t="shared" si="2"/>
        <v>500000</v>
      </c>
    </row>
    <row r="76" spans="1:16" x14ac:dyDescent="0.2">
      <c r="A76" s="1053"/>
      <c r="B76" s="1053"/>
      <c r="C76" s="115">
        <v>745</v>
      </c>
      <c r="D76" s="115"/>
      <c r="E76" s="1044"/>
      <c r="F76" s="115"/>
      <c r="G76" s="1045"/>
      <c r="H76" s="1054"/>
      <c r="I76" s="1047" t="s">
        <v>152</v>
      </c>
      <c r="J76" s="299">
        <f>SUM(J77)</f>
        <v>71340597.780000001</v>
      </c>
      <c r="K76" s="299">
        <f>SUM(K77)</f>
        <v>381250</v>
      </c>
      <c r="L76" s="49">
        <f t="shared" si="2"/>
        <v>71721847.780000001</v>
      </c>
      <c r="M76" s="1000"/>
    </row>
    <row r="77" spans="1:16" x14ac:dyDescent="0.2">
      <c r="A77" s="1048"/>
      <c r="B77" s="1049"/>
      <c r="C77" s="284"/>
      <c r="D77" s="1048"/>
      <c r="E77" s="47"/>
      <c r="F77" s="284"/>
      <c r="G77" s="1"/>
      <c r="H77" s="1051">
        <v>745150</v>
      </c>
      <c r="I77" s="1063" t="s">
        <v>316</v>
      </c>
      <c r="J77" s="107">
        <f>50605597.78+735000+20000000</f>
        <v>71340597.780000001</v>
      </c>
      <c r="K77" s="107">
        <f>282000+100000-750</f>
        <v>381250</v>
      </c>
      <c r="L77" s="107">
        <f t="shared" si="2"/>
        <v>71721847.780000001</v>
      </c>
    </row>
    <row r="78" spans="1:16" x14ac:dyDescent="0.2">
      <c r="A78" s="1058"/>
      <c r="B78" s="1053"/>
      <c r="C78" s="115">
        <v>771</v>
      </c>
      <c r="D78" s="1058"/>
      <c r="E78" s="1044"/>
      <c r="F78" s="115"/>
      <c r="G78" s="1045"/>
      <c r="H78" s="1054"/>
      <c r="I78" s="1047" t="s">
        <v>386</v>
      </c>
      <c r="J78" s="299"/>
      <c r="K78" s="299">
        <f>SUM(K79)</f>
        <v>9500000</v>
      </c>
      <c r="L78" s="49">
        <f t="shared" si="2"/>
        <v>9500000</v>
      </c>
      <c r="M78" s="1000"/>
    </row>
    <row r="79" spans="1:16" x14ac:dyDescent="0.2">
      <c r="A79" s="1048"/>
      <c r="B79" s="1049"/>
      <c r="C79" s="284"/>
      <c r="D79" s="1048"/>
      <c r="E79" s="47"/>
      <c r="F79" s="284"/>
      <c r="G79" s="1057"/>
      <c r="H79" s="286">
        <v>771110</v>
      </c>
      <c r="I79" s="40" t="s">
        <v>387</v>
      </c>
      <c r="J79" s="51"/>
      <c r="K79" s="51">
        <v>9500000</v>
      </c>
      <c r="L79" s="51">
        <f t="shared" si="2"/>
        <v>9500000</v>
      </c>
      <c r="M79" s="1002"/>
    </row>
    <row r="80" spans="1:16" x14ac:dyDescent="0.2">
      <c r="A80" s="1058"/>
      <c r="B80" s="1053"/>
      <c r="C80" s="115">
        <v>811</v>
      </c>
      <c r="D80" s="1058"/>
      <c r="E80" s="1044"/>
      <c r="F80" s="115"/>
      <c r="G80" s="1045"/>
      <c r="H80" s="1054"/>
      <c r="I80" s="1047" t="s">
        <v>681</v>
      </c>
      <c r="J80" s="299">
        <f>SUM(J81)</f>
        <v>3400000</v>
      </c>
      <c r="K80" s="299"/>
      <c r="L80" s="49">
        <f>SUM(J80:K80)</f>
        <v>3400000</v>
      </c>
      <c r="M80" s="1000"/>
    </row>
    <row r="81" spans="1:16" x14ac:dyDescent="0.2">
      <c r="A81" s="1048"/>
      <c r="B81" s="1049"/>
      <c r="C81" s="284"/>
      <c r="D81" s="1048"/>
      <c r="E81" s="47"/>
      <c r="F81" s="284"/>
      <c r="G81" s="1057"/>
      <c r="H81" s="286">
        <v>811150</v>
      </c>
      <c r="I81" s="40" t="s">
        <v>680</v>
      </c>
      <c r="J81" s="51">
        <v>3400000</v>
      </c>
      <c r="K81" s="51"/>
      <c r="L81" s="51">
        <f>SUM(J81:K81)</f>
        <v>3400000</v>
      </c>
      <c r="M81" s="1002"/>
    </row>
    <row r="82" spans="1:16" x14ac:dyDescent="0.2">
      <c r="A82" s="1048"/>
      <c r="B82" s="1049"/>
      <c r="C82" s="284">
        <v>812</v>
      </c>
      <c r="D82" s="1048"/>
      <c r="E82" s="47"/>
      <c r="F82" s="284"/>
      <c r="G82" s="1057"/>
      <c r="H82" s="1064"/>
      <c r="I82" s="1047" t="s">
        <v>692</v>
      </c>
      <c r="J82" s="52">
        <f>SUM(J83)</f>
        <v>1000000</v>
      </c>
      <c r="K82" s="51"/>
      <c r="L82" s="52">
        <f>SUM(J82:K82)</f>
        <v>1000000</v>
      </c>
      <c r="M82" s="1000"/>
    </row>
    <row r="83" spans="1:16" x14ac:dyDescent="0.2">
      <c r="A83" s="1048"/>
      <c r="B83" s="1049"/>
      <c r="C83" s="284"/>
      <c r="D83" s="1048"/>
      <c r="E83" s="47"/>
      <c r="F83" s="284"/>
      <c r="G83" s="1057"/>
      <c r="H83" s="1064">
        <v>812150</v>
      </c>
      <c r="I83" s="40" t="s">
        <v>693</v>
      </c>
      <c r="J83" s="51">
        <v>1000000</v>
      </c>
      <c r="K83" s="51"/>
      <c r="L83" s="51">
        <f>SUM(J83:K83)</f>
        <v>1000000</v>
      </c>
      <c r="M83" s="1002"/>
    </row>
    <row r="84" spans="1:16" x14ac:dyDescent="0.2">
      <c r="A84" s="1058"/>
      <c r="B84" s="1053"/>
      <c r="C84" s="115">
        <v>823</v>
      </c>
      <c r="D84" s="1058"/>
      <c r="E84" s="1044"/>
      <c r="F84" s="115"/>
      <c r="G84" s="1045"/>
      <c r="H84" s="1054"/>
      <c r="I84" s="102" t="s">
        <v>391</v>
      </c>
      <c r="J84" s="299"/>
      <c r="K84" s="299">
        <f>SUM(K85)</f>
        <v>4950000</v>
      </c>
      <c r="L84" s="49">
        <f t="shared" ref="L84:L87" si="3">SUM(J84:K84)</f>
        <v>4950000</v>
      </c>
      <c r="M84" s="1000"/>
    </row>
    <row r="85" spans="1:16" x14ac:dyDescent="0.2">
      <c r="A85" s="1048"/>
      <c r="B85" s="1049"/>
      <c r="C85" s="284"/>
      <c r="D85" s="1048"/>
      <c r="E85" s="47"/>
      <c r="F85" s="284"/>
      <c r="G85" s="1"/>
      <c r="H85" s="1065">
        <v>823150</v>
      </c>
      <c r="I85" s="1066" t="s">
        <v>392</v>
      </c>
      <c r="J85" s="1067"/>
      <c r="K85" s="1067">
        <v>4950000</v>
      </c>
      <c r="L85" s="1067">
        <f t="shared" si="3"/>
        <v>4950000</v>
      </c>
    </row>
    <row r="86" spans="1:16" x14ac:dyDescent="0.2">
      <c r="A86" s="1058"/>
      <c r="B86" s="1053"/>
      <c r="C86" s="115">
        <v>841</v>
      </c>
      <c r="D86" s="115"/>
      <c r="E86" s="1044"/>
      <c r="F86" s="115"/>
      <c r="G86" s="1045"/>
      <c r="H86" s="1054"/>
      <c r="I86" s="102" t="s">
        <v>153</v>
      </c>
      <c r="J86" s="299">
        <f>SUM(J87)</f>
        <v>758000000</v>
      </c>
      <c r="K86" s="299"/>
      <c r="L86" s="49">
        <f t="shared" si="3"/>
        <v>758000000</v>
      </c>
      <c r="M86" s="1000"/>
    </row>
    <row r="87" spans="1:16" x14ac:dyDescent="0.2">
      <c r="A87" s="1048"/>
      <c r="B87" s="1049"/>
      <c r="C87" s="284"/>
      <c r="D87" s="1048"/>
      <c r="E87" s="47"/>
      <c r="F87" s="284"/>
      <c r="G87" s="1068"/>
      <c r="H87" s="286">
        <v>841150</v>
      </c>
      <c r="I87" s="40" t="s">
        <v>178</v>
      </c>
      <c r="J87" s="51">
        <v>758000000</v>
      </c>
      <c r="K87" s="51"/>
      <c r="L87" s="51">
        <f t="shared" si="3"/>
        <v>758000000</v>
      </c>
    </row>
    <row r="88" spans="1:16" x14ac:dyDescent="0.2">
      <c r="A88" s="1058"/>
      <c r="B88" s="1053"/>
      <c r="C88" s="115">
        <v>911</v>
      </c>
      <c r="D88" s="1058"/>
      <c r="E88" s="1044"/>
      <c r="F88" s="115"/>
      <c r="G88" s="1069"/>
      <c r="H88" s="1054"/>
      <c r="I88" s="102" t="s">
        <v>676</v>
      </c>
      <c r="J88" s="299">
        <f>SUM(J89)</f>
        <v>588126351.10000002</v>
      </c>
      <c r="K88" s="67"/>
      <c r="L88" s="49">
        <f>SUM(J88:K88)</f>
        <v>588126351.10000002</v>
      </c>
      <c r="M88" s="1000"/>
    </row>
    <row r="89" spans="1:16" ht="22.5" x14ac:dyDescent="0.2">
      <c r="A89" s="1048"/>
      <c r="B89" s="1049"/>
      <c r="C89" s="284"/>
      <c r="D89" s="1048"/>
      <c r="E89" s="47"/>
      <c r="F89" s="284"/>
      <c r="G89" s="1057"/>
      <c r="H89" s="286">
        <v>911450</v>
      </c>
      <c r="I89" s="12" t="s">
        <v>675</v>
      </c>
      <c r="J89" s="1059">
        <f>468126351.1+120000000</f>
        <v>588126351.10000002</v>
      </c>
      <c r="K89" s="51"/>
      <c r="L89" s="51">
        <f>SUM(J89:K89)</f>
        <v>588126351.10000002</v>
      </c>
      <c r="N89" s="826"/>
    </row>
    <row r="90" spans="1:16" x14ac:dyDescent="0.2">
      <c r="A90" s="1048"/>
      <c r="B90" s="1049"/>
      <c r="C90" s="284"/>
      <c r="D90" s="1048"/>
      <c r="E90" s="47"/>
      <c r="F90" s="284"/>
      <c r="G90" s="1"/>
      <c r="H90" s="1070"/>
      <c r="I90" s="108"/>
      <c r="J90" s="109"/>
      <c r="K90" s="109"/>
      <c r="L90" s="109"/>
    </row>
    <row r="91" spans="1:16" ht="15" customHeight="1" x14ac:dyDescent="0.2">
      <c r="A91" s="1071"/>
      <c r="B91" s="1071"/>
      <c r="C91" s="1072"/>
      <c r="D91" s="1071"/>
      <c r="E91" s="1073"/>
      <c r="F91" s="1072"/>
      <c r="G91" s="1074"/>
      <c r="H91" s="110"/>
      <c r="I91" s="1075" t="s">
        <v>154</v>
      </c>
      <c r="J91" s="493">
        <f>SUM(J31+J38+J43+J51+J53+J56+J59+J64+J70+J76+J86+J78+J74+J84+J88+J80+J82)</f>
        <v>5724168950</v>
      </c>
      <c r="K91" s="493">
        <f>SUM(K31+K38+K43+K51+K53+K56+K59+K64+K70+K76+K86+K78+K74+K84+K88+K80)</f>
        <v>26698050</v>
      </c>
      <c r="L91" s="494">
        <f>SUM(J91:K91)</f>
        <v>5750867000</v>
      </c>
      <c r="M91" s="1003"/>
    </row>
    <row r="92" spans="1:16" x14ac:dyDescent="0.2">
      <c r="A92" s="465"/>
      <c r="B92" s="465"/>
      <c r="C92" s="401"/>
      <c r="D92" s="465"/>
      <c r="E92" s="18"/>
      <c r="F92" s="104"/>
      <c r="G92" s="19"/>
      <c r="H92" s="103"/>
      <c r="I92" s="17"/>
      <c r="J92" s="333"/>
      <c r="K92" s="479"/>
      <c r="L92" s="479"/>
      <c r="M92" s="1004"/>
    </row>
    <row r="93" spans="1:16" s="173" customFormat="1" x14ac:dyDescent="0.2">
      <c r="A93" s="535"/>
      <c r="B93" s="535"/>
      <c r="C93" s="536"/>
      <c r="D93" s="535"/>
      <c r="E93" s="537"/>
      <c r="F93" s="104"/>
      <c r="G93" s="19"/>
      <c r="H93" s="103"/>
      <c r="I93" s="17"/>
      <c r="J93" s="28"/>
      <c r="K93" s="223"/>
      <c r="L93" s="223"/>
      <c r="M93" s="1004"/>
      <c r="N93" s="462"/>
      <c r="O93" s="25"/>
      <c r="P93" s="827"/>
    </row>
    <row r="94" spans="1:16" ht="105" x14ac:dyDescent="0.2">
      <c r="A94" s="482"/>
      <c r="B94" s="482"/>
      <c r="C94" s="483"/>
      <c r="D94" s="482"/>
      <c r="E94" s="442"/>
      <c r="F94" s="182"/>
      <c r="G94" s="390"/>
      <c r="H94" s="111" t="s">
        <v>0</v>
      </c>
      <c r="I94" s="112" t="s">
        <v>1</v>
      </c>
      <c r="J94" s="495" t="s">
        <v>156</v>
      </c>
      <c r="K94" s="496" t="s">
        <v>281</v>
      </c>
      <c r="L94" s="497" t="s">
        <v>157</v>
      </c>
    </row>
    <row r="95" spans="1:16" x14ac:dyDescent="0.2">
      <c r="A95" s="484"/>
      <c r="B95" s="484"/>
      <c r="C95" s="485"/>
      <c r="D95" s="484"/>
      <c r="E95" s="443"/>
      <c r="F95" s="481"/>
      <c r="G95" s="391"/>
      <c r="H95" s="113">
        <v>1</v>
      </c>
      <c r="I95" s="114">
        <v>2</v>
      </c>
      <c r="J95" s="314">
        <v>3</v>
      </c>
      <c r="K95" s="314">
        <v>4</v>
      </c>
      <c r="L95" s="314">
        <v>5</v>
      </c>
      <c r="M95" s="999"/>
    </row>
    <row r="96" spans="1:16" s="402" customFormat="1" ht="15" x14ac:dyDescent="0.25">
      <c r="A96" s="464"/>
      <c r="B96" s="466"/>
      <c r="C96" s="43"/>
      <c r="D96" s="464"/>
      <c r="E96" s="20"/>
      <c r="F96" s="21"/>
      <c r="G96" s="1"/>
      <c r="H96" s="115">
        <v>41</v>
      </c>
      <c r="I96" s="116" t="s">
        <v>158</v>
      </c>
      <c r="J96" s="52">
        <f>SUM(J97:J102)</f>
        <v>345437433.83999997</v>
      </c>
      <c r="K96" s="52">
        <f>SUM(K97:K102)</f>
        <v>12137250</v>
      </c>
      <c r="L96" s="52">
        <f>SUM(J96:K96)</f>
        <v>357574683.83999997</v>
      </c>
      <c r="M96" s="1000"/>
      <c r="N96" s="828"/>
      <c r="O96" s="177"/>
      <c r="P96" s="829"/>
    </row>
    <row r="97" spans="1:16" x14ac:dyDescent="0.2">
      <c r="A97" s="464"/>
      <c r="B97" s="466"/>
      <c r="D97" s="464"/>
      <c r="F97" s="21"/>
      <c r="G97" s="1"/>
      <c r="H97" s="284">
        <v>411</v>
      </c>
      <c r="I97" s="40" t="s">
        <v>2</v>
      </c>
      <c r="J97" s="51">
        <f>SUMIF($H$234:$H$2323,411,(J$234:J$2323))</f>
        <v>253547874.25999999</v>
      </c>
      <c r="K97" s="51">
        <f>SUMIF($H$455:$H$2261,411,(K$455:K$2265))</f>
        <v>100085</v>
      </c>
      <c r="L97" s="51">
        <f>SUM(J97:K97)</f>
        <v>253647959.25999999</v>
      </c>
      <c r="N97" s="16"/>
    </row>
    <row r="98" spans="1:16" s="142" customFormat="1" ht="12" x14ac:dyDescent="0.2">
      <c r="A98" s="464"/>
      <c r="B98" s="466"/>
      <c r="C98" s="43"/>
      <c r="D98" s="464"/>
      <c r="E98" s="20"/>
      <c r="F98" s="21"/>
      <c r="G98" s="1"/>
      <c r="H98" s="284">
        <v>412</v>
      </c>
      <c r="I98" s="39" t="s">
        <v>3</v>
      </c>
      <c r="J98" s="51">
        <f>SUMIF($H$234:$H$2323,412,(J$234:J$2323))</f>
        <v>43487959.579999998</v>
      </c>
      <c r="K98" s="51">
        <f>SUMIF($H$455:$H$2261,412,(K$455:K$2265))</f>
        <v>17165</v>
      </c>
      <c r="L98" s="51">
        <f t="shared" ref="L98:L102" si="4">SUM(J98:K98)</f>
        <v>43505124.579999998</v>
      </c>
      <c r="M98" s="992"/>
      <c r="N98" s="16"/>
      <c r="O98" s="16"/>
      <c r="P98" s="140"/>
    </row>
    <row r="99" spans="1:16" s="534" customFormat="1" x14ac:dyDescent="0.2">
      <c r="A99" s="464"/>
      <c r="B99" s="466"/>
      <c r="C99" s="43"/>
      <c r="D99" s="464"/>
      <c r="E99" s="20"/>
      <c r="F99" s="21"/>
      <c r="G99" s="1"/>
      <c r="H99" s="284">
        <v>413</v>
      </c>
      <c r="I99" s="39" t="s">
        <v>159</v>
      </c>
      <c r="J99" s="51">
        <f>SUMIF($H$234:$H$2323,413,(J$234:J$2323))</f>
        <v>4820000</v>
      </c>
      <c r="K99" s="51">
        <f>SUMIF($H$455:$H$2261,413,(K$455:K$2265))</f>
        <v>20000</v>
      </c>
      <c r="L99" s="51">
        <f t="shared" si="4"/>
        <v>4840000</v>
      </c>
      <c r="M99" s="992"/>
      <c r="N99" s="824"/>
      <c r="O99" s="532"/>
      <c r="P99" s="825"/>
    </row>
    <row r="100" spans="1:16" x14ac:dyDescent="0.2">
      <c r="A100" s="464"/>
      <c r="B100" s="466"/>
      <c r="D100" s="464"/>
      <c r="F100" s="21"/>
      <c r="G100" s="1"/>
      <c r="H100" s="284">
        <v>414</v>
      </c>
      <c r="I100" s="39" t="s">
        <v>4</v>
      </c>
      <c r="J100" s="51">
        <f>SUMIF($H$234:$H$2323,414,(J$234:J$2323))</f>
        <v>12436200</v>
      </c>
      <c r="K100" s="51">
        <f>SUMIF($H$455:$H$2261,414,(K$455:K$2265))</f>
        <v>12000000</v>
      </c>
      <c r="L100" s="51">
        <f t="shared" si="4"/>
        <v>24436200</v>
      </c>
    </row>
    <row r="101" spans="1:16" x14ac:dyDescent="0.2">
      <c r="A101" s="464"/>
      <c r="B101" s="466"/>
      <c r="D101" s="464"/>
      <c r="F101" s="21"/>
      <c r="G101" s="1"/>
      <c r="H101" s="284">
        <v>415</v>
      </c>
      <c r="I101" s="39" t="s">
        <v>5</v>
      </c>
      <c r="J101" s="51">
        <f>SUMIF($H$234:$H$2323,415,(J$234:J$2323))</f>
        <v>11704400</v>
      </c>
      <c r="K101" s="51">
        <f>SUMIF($H$455:$H$2261,415,(K$455:K$2265))</f>
        <v>0</v>
      </c>
      <c r="L101" s="51">
        <f t="shared" si="4"/>
        <v>11704400</v>
      </c>
    </row>
    <row r="102" spans="1:16" x14ac:dyDescent="0.2">
      <c r="A102" s="464"/>
      <c r="B102" s="466"/>
      <c r="D102" s="464"/>
      <c r="F102" s="21"/>
      <c r="G102" s="1"/>
      <c r="H102" s="284">
        <v>416</v>
      </c>
      <c r="I102" s="39" t="s">
        <v>6</v>
      </c>
      <c r="J102" s="51">
        <f>SUMIF($H$234:$H$2323,416,(J$234:J$2323))</f>
        <v>19441000</v>
      </c>
      <c r="K102" s="51">
        <f>SUMIF($H$455:$H$2261,416,(K$455:K$2265))</f>
        <v>0</v>
      </c>
      <c r="L102" s="51">
        <f t="shared" si="4"/>
        <v>19441000</v>
      </c>
    </row>
    <row r="103" spans="1:16" x14ac:dyDescent="0.2">
      <c r="A103" s="464"/>
      <c r="B103" s="466"/>
      <c r="D103" s="464"/>
      <c r="F103" s="21"/>
      <c r="G103" s="1"/>
      <c r="H103" s="115">
        <v>42</v>
      </c>
      <c r="I103" s="116" t="s">
        <v>160</v>
      </c>
      <c r="J103" s="52">
        <f>SUM(J104:J109)</f>
        <v>1201677156.98</v>
      </c>
      <c r="K103" s="52">
        <f t="shared" ref="K103" si="5">SUM(K104:K109)</f>
        <v>11387000</v>
      </c>
      <c r="L103" s="52">
        <f>SUM(J103:K103)</f>
        <v>1213064156.98</v>
      </c>
      <c r="M103" s="1000"/>
    </row>
    <row r="104" spans="1:16" x14ac:dyDescent="0.2">
      <c r="A104" s="464"/>
      <c r="B104" s="466"/>
      <c r="D104" s="464"/>
      <c r="F104" s="21"/>
      <c r="G104" s="1"/>
      <c r="H104" s="284">
        <v>421</v>
      </c>
      <c r="I104" s="39" t="s">
        <v>7</v>
      </c>
      <c r="J104" s="51">
        <f>SUMIF($H$234:$H$2323,421,(J$234:J$2323))</f>
        <v>153387100.18000001</v>
      </c>
      <c r="K104" s="51">
        <f>SUMIF($H$455:$H$2261,421,(K$455:K$2265))</f>
        <v>1012000</v>
      </c>
      <c r="L104" s="51">
        <f>SUM(J104:K104)</f>
        <v>154399100.18000001</v>
      </c>
    </row>
    <row r="105" spans="1:16" x14ac:dyDescent="0.2">
      <c r="A105" s="464"/>
      <c r="B105" s="466"/>
      <c r="D105" s="464"/>
      <c r="F105" s="21"/>
      <c r="G105" s="1"/>
      <c r="H105" s="284">
        <v>422</v>
      </c>
      <c r="I105" s="39" t="s">
        <v>8</v>
      </c>
      <c r="J105" s="51">
        <f>SUMIF($H$234:$H$2323,422,(J$234:J$2323))</f>
        <v>7834000</v>
      </c>
      <c r="K105" s="51">
        <f>SUMIF($H$455:$H$2261,422,(K$455:K$2265))</f>
        <v>320000</v>
      </c>
      <c r="L105" s="51">
        <f t="shared" ref="L105:L109" si="6">SUM(J105:K105)</f>
        <v>8154000</v>
      </c>
    </row>
    <row r="106" spans="1:16" x14ac:dyDescent="0.2">
      <c r="A106" s="464"/>
      <c r="B106" s="466"/>
      <c r="D106" s="464"/>
      <c r="F106" s="21"/>
      <c r="G106" s="1"/>
      <c r="H106" s="284">
        <v>423</v>
      </c>
      <c r="I106" s="39" t="s">
        <v>9</v>
      </c>
      <c r="J106" s="51">
        <f>SUMIF($H$234:$H$2323,423,(J$234:J$2323))</f>
        <v>204928579</v>
      </c>
      <c r="K106" s="51">
        <f>SUMIF($H$455:$H$2261,423,(K$455:K$2265))</f>
        <v>1180000</v>
      </c>
      <c r="L106" s="51">
        <f t="shared" si="6"/>
        <v>206108579</v>
      </c>
    </row>
    <row r="107" spans="1:16" x14ac:dyDescent="0.2">
      <c r="A107" s="464"/>
      <c r="B107" s="466"/>
      <c r="D107" s="464"/>
      <c r="F107" s="21"/>
      <c r="G107" s="1"/>
      <c r="H107" s="284">
        <v>424</v>
      </c>
      <c r="I107" s="39" t="s">
        <v>10</v>
      </c>
      <c r="J107" s="51">
        <f>SUMIF($H$234:$H$2323,424,(J$234:J$2323))</f>
        <v>704499044.79999995</v>
      </c>
      <c r="K107" s="51">
        <f>SUMIF($H$455:$H$2261,424,(K$455:K$2265))</f>
        <v>7690000</v>
      </c>
      <c r="L107" s="51">
        <f t="shared" si="6"/>
        <v>712189044.79999995</v>
      </c>
    </row>
    <row r="108" spans="1:16" x14ac:dyDescent="0.2">
      <c r="A108" s="464"/>
      <c r="B108" s="466"/>
      <c r="D108" s="464"/>
      <c r="F108" s="21"/>
      <c r="G108" s="1"/>
      <c r="H108" s="284">
        <v>425</v>
      </c>
      <c r="I108" s="39" t="s">
        <v>11</v>
      </c>
      <c r="J108" s="51">
        <f>SUMIF($H$234:$H$2323,425,(J$234:J$2323))</f>
        <v>47685233</v>
      </c>
      <c r="K108" s="51">
        <f>SUMIF($H$455:$H$2261,425,(K$455:K$2265))</f>
        <v>80000</v>
      </c>
      <c r="L108" s="51">
        <f t="shared" si="6"/>
        <v>47765233</v>
      </c>
    </row>
    <row r="109" spans="1:16" x14ac:dyDescent="0.2">
      <c r="A109" s="464"/>
      <c r="B109" s="466"/>
      <c r="D109" s="464"/>
      <c r="F109" s="21"/>
      <c r="G109" s="1"/>
      <c r="H109" s="284">
        <v>426</v>
      </c>
      <c r="I109" s="39" t="s">
        <v>161</v>
      </c>
      <c r="J109" s="51">
        <f>SUMIF($H$234:$H$2323,426,(J$234:J$2323))</f>
        <v>83343200</v>
      </c>
      <c r="K109" s="51">
        <f>SUMIF($H$455:$H$2261,426,(K$455:K$2265))</f>
        <v>1105000</v>
      </c>
      <c r="L109" s="51">
        <f t="shared" si="6"/>
        <v>84448200</v>
      </c>
    </row>
    <row r="110" spans="1:16" x14ac:dyDescent="0.2">
      <c r="A110" s="464"/>
      <c r="B110" s="466"/>
      <c r="D110" s="464"/>
      <c r="F110" s="21"/>
      <c r="G110" s="1"/>
      <c r="H110" s="115">
        <v>43</v>
      </c>
      <c r="I110" s="116" t="s">
        <v>162</v>
      </c>
      <c r="J110" s="52">
        <f>SUM(J111)</f>
        <v>200000</v>
      </c>
      <c r="K110" s="52">
        <f t="shared" ref="K110" si="7">SUM(K111)</f>
        <v>150000</v>
      </c>
      <c r="L110" s="52">
        <f t="shared" ref="L110:L119" si="8">SUM(J110:K110)</f>
        <v>350000</v>
      </c>
      <c r="M110" s="1000"/>
    </row>
    <row r="111" spans="1:16" x14ac:dyDescent="0.2">
      <c r="A111" s="464"/>
      <c r="B111" s="466"/>
      <c r="D111" s="464"/>
      <c r="F111" s="21"/>
      <c r="G111" s="1"/>
      <c r="H111" s="284">
        <v>431</v>
      </c>
      <c r="I111" s="39" t="s">
        <v>12</v>
      </c>
      <c r="J111" s="51">
        <f>SUMIF($H$234:$H$2323,431,(J$234:J$2323))</f>
        <v>200000</v>
      </c>
      <c r="K111" s="51">
        <f>SUMIF($H$455:$H$2261,431,(K$455:K$2265))</f>
        <v>150000</v>
      </c>
      <c r="L111" s="51">
        <f t="shared" si="8"/>
        <v>350000</v>
      </c>
    </row>
    <row r="112" spans="1:16" x14ac:dyDescent="0.2">
      <c r="A112" s="464"/>
      <c r="B112" s="466"/>
      <c r="D112" s="464"/>
      <c r="F112" s="21"/>
      <c r="G112" s="1"/>
      <c r="H112" s="115">
        <v>44</v>
      </c>
      <c r="I112" s="116" t="s">
        <v>163</v>
      </c>
      <c r="J112" s="52">
        <f>SUM(J113:J114)</f>
        <v>9772000</v>
      </c>
      <c r="K112" s="52">
        <f>SUM(K113:K114)</f>
        <v>0</v>
      </c>
      <c r="L112" s="52">
        <f t="shared" si="8"/>
        <v>9772000</v>
      </c>
      <c r="M112" s="1000"/>
    </row>
    <row r="113" spans="1:13" x14ac:dyDescent="0.2">
      <c r="A113" s="464"/>
      <c r="B113" s="466"/>
      <c r="D113" s="464"/>
      <c r="F113" s="21"/>
      <c r="G113" s="1"/>
      <c r="H113" s="284">
        <v>441</v>
      </c>
      <c r="I113" s="39" t="s">
        <v>13</v>
      </c>
      <c r="J113" s="51">
        <f>SUMIF($H$234:$H$2323,441,(J$234:J$2323))</f>
        <v>8771000</v>
      </c>
      <c r="K113" s="51">
        <f>SUMIF($H$455:$H$2261,441,(K$455:K$2265))</f>
        <v>0</v>
      </c>
      <c r="L113" s="51">
        <f t="shared" si="8"/>
        <v>8771000</v>
      </c>
    </row>
    <row r="114" spans="1:13" x14ac:dyDescent="0.2">
      <c r="A114" s="464"/>
      <c r="B114" s="466"/>
      <c r="D114" s="464"/>
      <c r="F114" s="21"/>
      <c r="G114" s="1"/>
      <c r="H114" s="284">
        <v>444</v>
      </c>
      <c r="I114" s="39" t="s">
        <v>14</v>
      </c>
      <c r="J114" s="51">
        <f>SUMIF($H$234:$H$2323,444,(J$234:J$2323))</f>
        <v>1001000</v>
      </c>
      <c r="K114" s="51">
        <f>SUMIF($H$455:$H$2261,444,(K$455:K$2265))</f>
        <v>0</v>
      </c>
      <c r="L114" s="51">
        <f t="shared" si="8"/>
        <v>1001000</v>
      </c>
    </row>
    <row r="115" spans="1:13" x14ac:dyDescent="0.2">
      <c r="A115" s="464"/>
      <c r="B115" s="466"/>
      <c r="D115" s="464"/>
      <c r="F115" s="21"/>
      <c r="G115" s="1"/>
      <c r="H115" s="115">
        <v>45</v>
      </c>
      <c r="I115" s="116" t="s">
        <v>164</v>
      </c>
      <c r="J115" s="52">
        <f>SUM(J116:J117)</f>
        <v>192188028</v>
      </c>
      <c r="K115" s="52">
        <f>SUM(K116:K117)</f>
        <v>0</v>
      </c>
      <c r="L115" s="52">
        <f t="shared" si="8"/>
        <v>192188028</v>
      </c>
      <c r="M115" s="1000"/>
    </row>
    <row r="116" spans="1:13" x14ac:dyDescent="0.2">
      <c r="A116" s="464"/>
      <c r="B116" s="466"/>
      <c r="D116" s="464"/>
      <c r="F116" s="21"/>
      <c r="G116" s="1"/>
      <c r="H116" s="284">
        <v>451</v>
      </c>
      <c r="I116" s="39" t="s">
        <v>165</v>
      </c>
      <c r="J116" s="51">
        <f>SUMIF($H$234:$H$2323,451,(J$234:J$2323))</f>
        <v>169318028</v>
      </c>
      <c r="K116" s="51">
        <f>SUMIF($H$455:$H$2261,451,(K$455:K$2265))</f>
        <v>0</v>
      </c>
      <c r="L116" s="51">
        <f t="shared" si="8"/>
        <v>169318028</v>
      </c>
    </row>
    <row r="117" spans="1:13" x14ac:dyDescent="0.2">
      <c r="A117" s="464"/>
      <c r="B117" s="466"/>
      <c r="D117" s="464"/>
      <c r="F117" s="21"/>
      <c r="G117" s="1"/>
      <c r="H117" s="284">
        <v>454</v>
      </c>
      <c r="I117" s="39" t="s">
        <v>15</v>
      </c>
      <c r="J117" s="51">
        <f>SUMIF($H$234:$H$2323,454,(J$234:J$2323))</f>
        <v>22870000</v>
      </c>
      <c r="K117" s="51">
        <f>SUMIF($H$455:$H$2261,454,(K$455:K$2265))</f>
        <v>0</v>
      </c>
      <c r="L117" s="51">
        <f t="shared" si="8"/>
        <v>22870000</v>
      </c>
    </row>
    <row r="118" spans="1:13" x14ac:dyDescent="0.2">
      <c r="A118" s="464"/>
      <c r="B118" s="466"/>
      <c r="D118" s="464"/>
      <c r="F118" s="21"/>
      <c r="G118" s="1"/>
      <c r="H118" s="115">
        <v>46</v>
      </c>
      <c r="I118" s="116" t="s">
        <v>166</v>
      </c>
      <c r="J118" s="52">
        <f>SUM(J119:J121)</f>
        <v>437551401.05000001</v>
      </c>
      <c r="K118" s="52">
        <f>SUM(K119:K121)</f>
        <v>11800</v>
      </c>
      <c r="L118" s="52">
        <f t="shared" si="8"/>
        <v>437563201.05000001</v>
      </c>
      <c r="M118" s="1000"/>
    </row>
    <row r="119" spans="1:13" x14ac:dyDescent="0.2">
      <c r="A119" s="464"/>
      <c r="B119" s="466"/>
      <c r="D119" s="464"/>
      <c r="F119" s="21"/>
      <c r="G119" s="1"/>
      <c r="H119" s="284">
        <v>463</v>
      </c>
      <c r="I119" s="39" t="s">
        <v>16</v>
      </c>
      <c r="J119" s="51">
        <f>SUMIF($H$234:$H$2323,463,(J$234:J$2323))</f>
        <v>268822651.05000001</v>
      </c>
      <c r="K119" s="51">
        <f>SUMIF($H$455:$H$2261,463,(K$455:K$2265))</f>
        <v>0</v>
      </c>
      <c r="L119" s="51">
        <f t="shared" si="8"/>
        <v>268822651.05000001</v>
      </c>
    </row>
    <row r="120" spans="1:13" x14ac:dyDescent="0.2">
      <c r="A120" s="464"/>
      <c r="B120" s="466"/>
      <c r="D120" s="464"/>
      <c r="F120" s="21"/>
      <c r="G120" s="1"/>
      <c r="H120" s="284">
        <v>464</v>
      </c>
      <c r="I120" s="39" t="s">
        <v>322</v>
      </c>
      <c r="J120" s="51">
        <f>SUMIF($H$234:$H$2323,464,(J$234:J$2323))</f>
        <v>139000000</v>
      </c>
      <c r="K120" s="51">
        <f>SUMIF($H$455:$H$2261,464,(K$455:K$2265))</f>
        <v>0</v>
      </c>
      <c r="L120" s="51">
        <f t="shared" ref="L120:L121" si="9">SUM(J120:K120)</f>
        <v>139000000</v>
      </c>
    </row>
    <row r="121" spans="1:13" x14ac:dyDescent="0.2">
      <c r="A121" s="464"/>
      <c r="B121" s="466"/>
      <c r="D121" s="464"/>
      <c r="F121" s="21"/>
      <c r="G121" s="1"/>
      <c r="H121" s="284">
        <v>465</v>
      </c>
      <c r="I121" s="40" t="s">
        <v>167</v>
      </c>
      <c r="J121" s="51">
        <f>SUMIF($H$234:$H$2323,465,(J$234:J$2323))</f>
        <v>29728750</v>
      </c>
      <c r="K121" s="51">
        <f>SUMIF($H$455:$H$2261,465,(K$455:K$2265))</f>
        <v>11800</v>
      </c>
      <c r="L121" s="51">
        <f t="shared" si="9"/>
        <v>29740550</v>
      </c>
    </row>
    <row r="122" spans="1:13" x14ac:dyDescent="0.2">
      <c r="A122" s="464"/>
      <c r="B122" s="466"/>
      <c r="D122" s="464"/>
      <c r="F122" s="21"/>
      <c r="G122" s="1"/>
      <c r="H122" s="115">
        <v>47</v>
      </c>
      <c r="I122" s="116" t="s">
        <v>168</v>
      </c>
      <c r="J122" s="52">
        <f>SUM(J123)</f>
        <v>380240000</v>
      </c>
      <c r="K122" s="52">
        <f>SUM(K123)</f>
        <v>0</v>
      </c>
      <c r="L122" s="52">
        <f>SUM(J122:K122)</f>
        <v>380240000</v>
      </c>
      <c r="M122" s="1000"/>
    </row>
    <row r="123" spans="1:13" x14ac:dyDescent="0.2">
      <c r="A123" s="464"/>
      <c r="B123" s="466"/>
      <c r="D123" s="464"/>
      <c r="F123" s="21"/>
      <c r="G123" s="1"/>
      <c r="H123" s="284">
        <v>472</v>
      </c>
      <c r="I123" s="39" t="s">
        <v>169</v>
      </c>
      <c r="J123" s="51">
        <f>SUMIF($H$234:$H$2323,472,(J$234:J$2323))</f>
        <v>380240000</v>
      </c>
      <c r="K123" s="51">
        <f>SUMIF($H$455:$H$2261,472,(K$455:K$2265))</f>
        <v>0</v>
      </c>
      <c r="L123" s="51">
        <f>SUM(J123:K123)</f>
        <v>380240000</v>
      </c>
    </row>
    <row r="124" spans="1:13" x14ac:dyDescent="0.2">
      <c r="A124" s="464"/>
      <c r="B124" s="466"/>
      <c r="D124" s="464"/>
      <c r="F124" s="21"/>
      <c r="G124" s="1"/>
      <c r="H124" s="115">
        <v>48</v>
      </c>
      <c r="I124" s="116" t="s">
        <v>170</v>
      </c>
      <c r="J124" s="52">
        <f>SUM(J125:J128)</f>
        <v>334576200</v>
      </c>
      <c r="K124" s="52">
        <f>SUM(K125:K128)</f>
        <v>42000</v>
      </c>
      <c r="L124" s="52">
        <f>SUM(J124:K124)</f>
        <v>334618200</v>
      </c>
      <c r="M124" s="1000"/>
    </row>
    <row r="125" spans="1:13" x14ac:dyDescent="0.2">
      <c r="A125" s="464"/>
      <c r="B125" s="466"/>
      <c r="D125" s="464"/>
      <c r="F125" s="21"/>
      <c r="G125" s="1"/>
      <c r="H125" s="284">
        <v>481</v>
      </c>
      <c r="I125" s="39" t="s">
        <v>171</v>
      </c>
      <c r="J125" s="51">
        <f>SUMIF($H$234:$H$2323,481,(J$234:J$2323))</f>
        <v>190145000</v>
      </c>
      <c r="K125" s="51">
        <f>SUMIF($H$455:$H$2261,481,(K$455:K$2265))</f>
        <v>0</v>
      </c>
      <c r="L125" s="51">
        <f>SUM(J125:K125)</f>
        <v>190145000</v>
      </c>
    </row>
    <row r="126" spans="1:13" x14ac:dyDescent="0.2">
      <c r="A126" s="464"/>
      <c r="B126" s="466"/>
      <c r="D126" s="464"/>
      <c r="F126" s="21"/>
      <c r="G126" s="1"/>
      <c r="H126" s="284">
        <v>482</v>
      </c>
      <c r="I126" s="39" t="s">
        <v>17</v>
      </c>
      <c r="J126" s="51">
        <f>SUMIF($H$234:$H$2323,482,(J$234:J$2323))</f>
        <v>20288200</v>
      </c>
      <c r="K126" s="51">
        <f>SUMIF($H$455:$H$2261,482,(K$455:K$2265))</f>
        <v>42000</v>
      </c>
      <c r="L126" s="51">
        <f t="shared" ref="L126:L128" si="10">SUM(J126:K126)</f>
        <v>20330200</v>
      </c>
    </row>
    <row r="127" spans="1:13" x14ac:dyDescent="0.2">
      <c r="A127" s="464"/>
      <c r="B127" s="466"/>
      <c r="D127" s="464"/>
      <c r="F127" s="21"/>
      <c r="G127" s="1"/>
      <c r="H127" s="284">
        <v>483</v>
      </c>
      <c r="I127" s="39" t="s">
        <v>18</v>
      </c>
      <c r="J127" s="51">
        <f>SUMIF($H$234:$H$2323,483,(J$234:J$2323))</f>
        <v>104143000</v>
      </c>
      <c r="K127" s="51">
        <f>SUMIF($H$455:$H$2261,483,(K$455:K$2265))</f>
        <v>0</v>
      </c>
      <c r="L127" s="51">
        <f t="shared" si="10"/>
        <v>104143000</v>
      </c>
    </row>
    <row r="128" spans="1:13" x14ac:dyDescent="0.2">
      <c r="A128" s="464"/>
      <c r="B128" s="466"/>
      <c r="D128" s="464"/>
      <c r="F128" s="21"/>
      <c r="G128" s="1"/>
      <c r="H128" s="284">
        <v>485</v>
      </c>
      <c r="I128" s="40" t="s">
        <v>19</v>
      </c>
      <c r="J128" s="51">
        <f>SUMIF($H$234:$H$2323,485,(J$234:J$2323))</f>
        <v>20000000</v>
      </c>
      <c r="K128" s="51">
        <f>SUMIF($H$455:$H$2261,485,(K$455:K$2265))</f>
        <v>0</v>
      </c>
      <c r="L128" s="51">
        <f t="shared" si="10"/>
        <v>20000000</v>
      </c>
    </row>
    <row r="129" spans="1:16" x14ac:dyDescent="0.2">
      <c r="A129" s="464"/>
      <c r="B129" s="466"/>
      <c r="D129" s="464"/>
      <c r="F129" s="21"/>
      <c r="G129" s="1"/>
      <c r="H129" s="115">
        <v>49</v>
      </c>
      <c r="I129" s="116" t="s">
        <v>319</v>
      </c>
      <c r="J129" s="52">
        <f>SUM(J130)</f>
        <v>34827112.399999999</v>
      </c>
      <c r="K129" s="52">
        <f>SUM(K130)</f>
        <v>0</v>
      </c>
      <c r="L129" s="52">
        <f>SUM(J129:K129)</f>
        <v>34827112.399999999</v>
      </c>
      <c r="M129" s="1000"/>
      <c r="O129" s="177"/>
    </row>
    <row r="130" spans="1:16" x14ac:dyDescent="0.2">
      <c r="A130" s="464"/>
      <c r="B130" s="466"/>
      <c r="D130" s="464"/>
      <c r="F130" s="21"/>
      <c r="G130" s="1"/>
      <c r="H130" s="284">
        <v>499</v>
      </c>
      <c r="I130" s="39" t="s">
        <v>172</v>
      </c>
      <c r="J130" s="51">
        <f>SUMIF($H$234:$H$2323,499,(J$234:J$2323))</f>
        <v>34827112.399999999</v>
      </c>
      <c r="K130" s="51">
        <f>SUMIF($H$455:$H$2261,499,(K$455:K$2265))</f>
        <v>0</v>
      </c>
      <c r="L130" s="51">
        <f>SUM(J130:K130)</f>
        <v>34827112.399999999</v>
      </c>
    </row>
    <row r="131" spans="1:16" x14ac:dyDescent="0.2">
      <c r="A131" s="464"/>
      <c r="B131" s="466"/>
      <c r="D131" s="464"/>
      <c r="F131" s="21"/>
      <c r="G131" s="1"/>
      <c r="H131" s="115">
        <v>51</v>
      </c>
      <c r="I131" s="116" t="s">
        <v>173</v>
      </c>
      <c r="J131" s="52">
        <f>SUM(J132:J135)</f>
        <v>2659949617.73</v>
      </c>
      <c r="K131" s="52">
        <f>SUM(K132:K135)</f>
        <v>700000</v>
      </c>
      <c r="L131" s="52">
        <f>SUM(J131:K131)</f>
        <v>2660649617.73</v>
      </c>
      <c r="M131" s="1000"/>
      <c r="P131" s="950"/>
    </row>
    <row r="132" spans="1:16" x14ac:dyDescent="0.2">
      <c r="A132" s="464"/>
      <c r="B132" s="466"/>
      <c r="D132" s="464"/>
      <c r="F132" s="21"/>
      <c r="G132" s="1"/>
      <c r="H132" s="284">
        <v>511</v>
      </c>
      <c r="I132" s="39" t="s">
        <v>20</v>
      </c>
      <c r="J132" s="51">
        <f>SUMIF($H$234:$H$2323,511,(J$234:J$2323))</f>
        <v>2484883113.5300002</v>
      </c>
      <c r="K132" s="51">
        <f>SUMIF($H$455:$H$2261,511,(K$455:K$2265))</f>
        <v>0</v>
      </c>
      <c r="L132" s="51">
        <f>SUM(J132:K132)</f>
        <v>2484883113.5300002</v>
      </c>
    </row>
    <row r="133" spans="1:16" x14ac:dyDescent="0.2">
      <c r="A133" s="464"/>
      <c r="B133" s="466"/>
      <c r="D133" s="464"/>
      <c r="F133" s="21"/>
      <c r="G133" s="1"/>
      <c r="H133" s="284">
        <v>512</v>
      </c>
      <c r="I133" s="39" t="s">
        <v>21</v>
      </c>
      <c r="J133" s="51">
        <f>SUMIF($H$234:$H$2323,512,(J$234:J$2323))</f>
        <v>158765503.19999999</v>
      </c>
      <c r="K133" s="51">
        <f>SUMIF($H$455:$H$2261,512,(K$455:K$2265))</f>
        <v>300000</v>
      </c>
      <c r="L133" s="51">
        <f t="shared" ref="L133:L135" si="11">SUM(J133:K133)</f>
        <v>159065503.19999999</v>
      </c>
    </row>
    <row r="134" spans="1:16" x14ac:dyDescent="0.2">
      <c r="A134" s="464"/>
      <c r="B134" s="466"/>
      <c r="D134" s="464"/>
      <c r="F134" s="21"/>
      <c r="G134" s="1"/>
      <c r="H134" s="284">
        <v>513</v>
      </c>
      <c r="I134" s="39" t="s">
        <v>22</v>
      </c>
      <c r="J134" s="51">
        <f>SUMIF($H$234:$H$2323,513,(J$234:J$2323))</f>
        <v>9300000</v>
      </c>
      <c r="K134" s="51">
        <f>SUMIF($H$455:$H$2261,513,(K$455:K$2265))</f>
        <v>0</v>
      </c>
      <c r="L134" s="51">
        <f t="shared" si="11"/>
        <v>9300000</v>
      </c>
    </row>
    <row r="135" spans="1:16" x14ac:dyDescent="0.2">
      <c r="A135" s="464"/>
      <c r="B135" s="466"/>
      <c r="D135" s="464"/>
      <c r="F135" s="21"/>
      <c r="G135" s="1"/>
      <c r="H135" s="284">
        <v>515</v>
      </c>
      <c r="I135" s="39" t="s">
        <v>23</v>
      </c>
      <c r="J135" s="51">
        <f>SUMIF($H$234:$H$2323,515,(J$234:J$2323))</f>
        <v>7001001</v>
      </c>
      <c r="K135" s="51">
        <f>SUMIF($H$455:$H$2261,515,(K$455:K$2265))</f>
        <v>400000</v>
      </c>
      <c r="L135" s="51">
        <f t="shared" si="11"/>
        <v>7401001</v>
      </c>
    </row>
    <row r="136" spans="1:16" x14ac:dyDescent="0.2">
      <c r="A136" s="464"/>
      <c r="B136" s="466"/>
      <c r="D136" s="464"/>
      <c r="F136" s="21"/>
      <c r="G136" s="1"/>
      <c r="H136" s="115">
        <v>52</v>
      </c>
      <c r="I136" s="116" t="s">
        <v>174</v>
      </c>
      <c r="J136" s="52">
        <f>SUM(J137)</f>
        <v>0</v>
      </c>
      <c r="K136" s="52">
        <f t="shared" ref="K136" si="12">SUM(K137)</f>
        <v>2270000</v>
      </c>
      <c r="L136" s="52">
        <f t="shared" ref="L136:L141" si="13">SUM(J136:K136)</f>
        <v>2270000</v>
      </c>
      <c r="M136" s="1000"/>
    </row>
    <row r="137" spans="1:16" x14ac:dyDescent="0.2">
      <c r="A137" s="464"/>
      <c r="B137" s="466"/>
      <c r="D137" s="464"/>
      <c r="F137" s="21"/>
      <c r="G137" s="1"/>
      <c r="H137" s="284">
        <v>523</v>
      </c>
      <c r="I137" s="40" t="s">
        <v>24</v>
      </c>
      <c r="J137" s="51">
        <f>SUMIF($H$234:$H$2323,523,(J$234:J$2323))</f>
        <v>0</v>
      </c>
      <c r="K137" s="51">
        <f>SUMIF($H$455:$H$2261,523,(K$455:K$2265))</f>
        <v>2270000</v>
      </c>
      <c r="L137" s="51">
        <f t="shared" si="13"/>
        <v>2270000</v>
      </c>
    </row>
    <row r="138" spans="1:16" x14ac:dyDescent="0.2">
      <c r="A138" s="464"/>
      <c r="B138" s="466"/>
      <c r="D138" s="464"/>
      <c r="F138" s="21"/>
      <c r="G138" s="1"/>
      <c r="H138" s="115">
        <v>54</v>
      </c>
      <c r="I138" s="42" t="s">
        <v>175</v>
      </c>
      <c r="J138" s="52">
        <f>SUM(J139)</f>
        <v>127650000</v>
      </c>
      <c r="K138" s="52">
        <f>SUM(K139)</f>
        <v>0</v>
      </c>
      <c r="L138" s="52">
        <f t="shared" si="13"/>
        <v>127650000</v>
      </c>
      <c r="M138" s="1000"/>
    </row>
    <row r="139" spans="1:16" x14ac:dyDescent="0.2">
      <c r="A139" s="464"/>
      <c r="B139" s="466"/>
      <c r="D139" s="464"/>
      <c r="F139" s="21"/>
      <c r="G139" s="1"/>
      <c r="H139" s="284">
        <v>541</v>
      </c>
      <c r="I139" s="40" t="s">
        <v>25</v>
      </c>
      <c r="J139" s="51">
        <f>SUMIF($H$234:$H$2323,541,(J$234:J$2323))</f>
        <v>127650000</v>
      </c>
      <c r="K139" s="51">
        <f>SUMIF($H$455:$H$2261,541,(K$455:K$2265))</f>
        <v>0</v>
      </c>
      <c r="L139" s="51">
        <f t="shared" si="13"/>
        <v>127650000</v>
      </c>
    </row>
    <row r="140" spans="1:16" x14ac:dyDescent="0.2">
      <c r="A140" s="464"/>
      <c r="B140" s="466"/>
      <c r="D140" s="464"/>
      <c r="F140" s="21"/>
      <c r="G140" s="1"/>
      <c r="H140" s="115">
        <v>62</v>
      </c>
      <c r="I140" s="42" t="s">
        <v>176</v>
      </c>
      <c r="J140" s="52">
        <f>SUM(J141)</f>
        <v>100000</v>
      </c>
      <c r="K140" s="52">
        <f>SUM(K141)</f>
        <v>0</v>
      </c>
      <c r="L140" s="52">
        <f t="shared" si="13"/>
        <v>100000</v>
      </c>
      <c r="M140" s="1000"/>
    </row>
    <row r="141" spans="1:16" x14ac:dyDescent="0.2">
      <c r="A141" s="486"/>
      <c r="B141" s="487"/>
      <c r="C141" s="158"/>
      <c r="D141" s="486"/>
      <c r="E141" s="23"/>
      <c r="F141" s="394"/>
      <c r="G141" s="1"/>
      <c r="H141" s="284">
        <v>621</v>
      </c>
      <c r="I141" s="40" t="s">
        <v>26</v>
      </c>
      <c r="J141" s="51">
        <f>SUMIF($H$234:$H$2323,621,(J$234:J$2323))</f>
        <v>100000</v>
      </c>
      <c r="K141" s="51">
        <f>SUMIF($H$455:$H$2261,621,(K$455:K$2265))</f>
        <v>0</v>
      </c>
      <c r="L141" s="51">
        <f t="shared" si="13"/>
        <v>100000</v>
      </c>
    </row>
    <row r="142" spans="1:16" x14ac:dyDescent="0.2">
      <c r="A142" s="820"/>
      <c r="B142" s="488"/>
      <c r="C142" s="819"/>
      <c r="D142" s="488"/>
      <c r="E142" s="444"/>
      <c r="F142" s="182"/>
      <c r="G142" s="392"/>
      <c r="H142" s="110"/>
      <c r="I142" s="117" t="s">
        <v>177</v>
      </c>
      <c r="J142" s="493">
        <f>SUM(J96+J103+J110+J112+J115+J118+J122+J124+J129+J131+J138+J136+J140)</f>
        <v>5724168950</v>
      </c>
      <c r="K142" s="493">
        <f t="shared" ref="K142:L142" si="14">SUM(K96+K103+K110+K112+K115+K118+K122+K124+K129+K131+K138+K136+K140)</f>
        <v>26698050</v>
      </c>
      <c r="L142" s="494">
        <f t="shared" si="14"/>
        <v>5750867000</v>
      </c>
      <c r="M142" s="1003"/>
    </row>
    <row r="143" spans="1:16" x14ac:dyDescent="0.2">
      <c r="A143" s="101"/>
      <c r="B143" s="100"/>
      <c r="C143" s="21"/>
      <c r="D143" s="101"/>
      <c r="F143" s="21"/>
      <c r="G143" s="1"/>
      <c r="H143" s="100"/>
      <c r="I143" s="206"/>
      <c r="J143" s="223"/>
      <c r="K143" s="223"/>
      <c r="L143" s="223"/>
      <c r="N143" s="16"/>
    </row>
    <row r="144" spans="1:16" x14ac:dyDescent="0.2">
      <c r="A144" s="1137" t="s">
        <v>1009</v>
      </c>
      <c r="B144" s="1137"/>
      <c r="C144" s="1137"/>
      <c r="D144" s="1137"/>
      <c r="E144" s="1137"/>
      <c r="F144" s="1137"/>
      <c r="G144" s="1137"/>
      <c r="H144" s="1137"/>
      <c r="I144" s="1137"/>
      <c r="J144" s="1137"/>
      <c r="K144" s="1137"/>
      <c r="L144" s="1137"/>
      <c r="M144" s="997"/>
      <c r="N144" s="16"/>
    </row>
    <row r="145" spans="1:16" ht="15" x14ac:dyDescent="0.25">
      <c r="A145" s="386"/>
      <c r="B145" s="386"/>
      <c r="C145" s="395"/>
      <c r="D145" s="386"/>
      <c r="E145" s="389"/>
      <c r="F145" s="411"/>
      <c r="G145" s="386"/>
      <c r="H145" s="411"/>
      <c r="I145" s="120"/>
      <c r="J145" s="480"/>
      <c r="K145" s="480"/>
      <c r="L145" s="480"/>
      <c r="M145" s="997"/>
      <c r="N145" s="16"/>
    </row>
    <row r="146" spans="1:16" s="126" customFormat="1" ht="15" x14ac:dyDescent="0.25">
      <c r="A146" s="122"/>
      <c r="B146" s="122"/>
      <c r="C146" s="396"/>
      <c r="D146" s="122" t="s">
        <v>1010</v>
      </c>
      <c r="E146" s="151"/>
      <c r="F146" s="412"/>
      <c r="G146" s="122"/>
      <c r="H146" s="412"/>
      <c r="I146" s="123"/>
      <c r="J146" s="124"/>
      <c r="K146" s="124"/>
      <c r="L146" s="480"/>
      <c r="M146" s="1005"/>
      <c r="N146" s="177"/>
      <c r="O146" s="177"/>
      <c r="P146" s="829"/>
    </row>
    <row r="147" spans="1:16" s="126" customFormat="1" ht="15" x14ac:dyDescent="0.25">
      <c r="A147" s="122" t="s">
        <v>1011</v>
      </c>
      <c r="B147" s="122"/>
      <c r="C147" s="396"/>
      <c r="D147" s="122"/>
      <c r="E147" s="151"/>
      <c r="F147" s="412"/>
      <c r="G147" s="122"/>
      <c r="H147" s="412"/>
      <c r="I147" s="123"/>
      <c r="J147" s="124"/>
      <c r="K147" s="124"/>
      <c r="L147" s="480"/>
      <c r="M147" s="1005"/>
      <c r="N147" s="177"/>
      <c r="O147" s="177"/>
      <c r="P147" s="829"/>
    </row>
    <row r="148" spans="1:16" x14ac:dyDescent="0.2">
      <c r="A148" s="498"/>
      <c r="B148" s="498"/>
      <c r="C148" s="499"/>
      <c r="D148" s="498"/>
      <c r="E148" s="500"/>
      <c r="F148" s="739"/>
      <c r="G148" s="501"/>
      <c r="H148" s="502"/>
      <c r="I148" s="503"/>
      <c r="J148" s="504"/>
      <c r="K148" s="504"/>
      <c r="L148" s="479"/>
      <c r="M148" s="1006"/>
      <c r="N148" s="16"/>
    </row>
    <row r="149" spans="1:16" s="132" customFormat="1" ht="24" x14ac:dyDescent="0.25">
      <c r="A149" s="1132" t="s">
        <v>614</v>
      </c>
      <c r="B149" s="1133"/>
      <c r="C149" s="1133"/>
      <c r="D149" s="1133"/>
      <c r="E149" s="1133"/>
      <c r="F149" s="1133"/>
      <c r="G149" s="1133"/>
      <c r="H149" s="1133"/>
      <c r="I149" s="1134"/>
      <c r="J149" s="1077" t="s">
        <v>324</v>
      </c>
      <c r="K149" s="492" t="s">
        <v>156</v>
      </c>
      <c r="L149" s="315"/>
      <c r="M149" s="1006"/>
      <c r="N149" s="125"/>
      <c r="O149" s="118"/>
      <c r="P149" s="118"/>
    </row>
    <row r="150" spans="1:16" s="132" customFormat="1" ht="15" x14ac:dyDescent="0.25">
      <c r="A150" s="1138">
        <v>1</v>
      </c>
      <c r="B150" s="1139"/>
      <c r="C150" s="1139"/>
      <c r="D150" s="1139"/>
      <c r="E150" s="1139"/>
      <c r="F150" s="1139"/>
      <c r="G150" s="1139"/>
      <c r="H150" s="1139"/>
      <c r="I150" s="1140"/>
      <c r="J150" s="1078">
        <v>2</v>
      </c>
      <c r="K150" s="1079">
        <v>3</v>
      </c>
      <c r="L150" s="315"/>
      <c r="M150" s="1006"/>
      <c r="N150" s="125"/>
      <c r="O150" s="118"/>
      <c r="P150" s="118"/>
    </row>
    <row r="151" spans="1:16" s="132" customFormat="1" ht="15" x14ac:dyDescent="0.25">
      <c r="A151" s="1080" t="s">
        <v>184</v>
      </c>
      <c r="B151" s="1080"/>
      <c r="C151" s="1030"/>
      <c r="D151" s="1080"/>
      <c r="E151" s="444"/>
      <c r="F151" s="1081"/>
      <c r="G151" s="1082"/>
      <c r="H151" s="1083"/>
      <c r="I151" s="1084"/>
      <c r="J151" s="1085"/>
      <c r="K151" s="1086"/>
      <c r="L151" s="315"/>
      <c r="M151" s="1006"/>
      <c r="N151" s="125"/>
      <c r="O151" s="118"/>
      <c r="P151" s="118"/>
    </row>
    <row r="152" spans="1:16" s="132" customFormat="1" ht="15" x14ac:dyDescent="0.25">
      <c r="A152" s="1142" t="s">
        <v>185</v>
      </c>
      <c r="B152" s="1143"/>
      <c r="C152" s="1143"/>
      <c r="D152" s="1143"/>
      <c r="E152" s="1143"/>
      <c r="F152" s="1143"/>
      <c r="G152" s="1143"/>
      <c r="H152" s="1143"/>
      <c r="I152" s="1144"/>
      <c r="J152" s="1087"/>
      <c r="K152" s="318">
        <f>K153+K164</f>
        <v>5162740648.8999996</v>
      </c>
      <c r="L152" s="315"/>
      <c r="M152" s="1006"/>
      <c r="N152" s="131"/>
      <c r="O152" s="131"/>
      <c r="P152" s="118"/>
    </row>
    <row r="153" spans="1:16" s="132" customFormat="1" ht="15" customHeight="1" x14ac:dyDescent="0.25">
      <c r="A153" s="1123" t="s">
        <v>186</v>
      </c>
      <c r="B153" s="1124"/>
      <c r="C153" s="1124"/>
      <c r="D153" s="1124"/>
      <c r="E153" s="1124"/>
      <c r="F153" s="1124"/>
      <c r="G153" s="1124"/>
      <c r="H153" s="1124"/>
      <c r="I153" s="1125"/>
      <c r="J153" s="1088">
        <v>7</v>
      </c>
      <c r="K153" s="51">
        <f>SUM(L31+L38+L43+L51+L53+L56+L59+L64+L70+L76+L78+L74)</f>
        <v>4395390648.8999996</v>
      </c>
      <c r="L153" s="315"/>
      <c r="M153" s="1006"/>
      <c r="N153" s="131"/>
      <c r="O153" s="131"/>
      <c r="P153" s="118"/>
    </row>
    <row r="154" spans="1:16" s="132" customFormat="1" ht="15" customHeight="1" x14ac:dyDescent="0.25">
      <c r="A154" s="1129" t="s">
        <v>187</v>
      </c>
      <c r="B154" s="1130"/>
      <c r="C154" s="1130"/>
      <c r="D154" s="1130"/>
      <c r="E154" s="1130"/>
      <c r="F154" s="1130"/>
      <c r="G154" s="1130"/>
      <c r="H154" s="1130"/>
      <c r="I154" s="1131"/>
      <c r="J154" s="1088" t="s">
        <v>325</v>
      </c>
      <c r="K154" s="51">
        <f>SUM(L31+L38+L43+L51)</f>
        <v>2309750000</v>
      </c>
      <c r="L154" s="315"/>
      <c r="M154" s="1006"/>
      <c r="N154" s="830"/>
      <c r="O154" s="131"/>
      <c r="P154" s="118"/>
    </row>
    <row r="155" spans="1:16" s="132" customFormat="1" ht="15" customHeight="1" x14ac:dyDescent="0.25">
      <c r="A155" s="1129" t="s">
        <v>188</v>
      </c>
      <c r="B155" s="1130"/>
      <c r="C155" s="1130"/>
      <c r="D155" s="1130"/>
      <c r="E155" s="1130"/>
      <c r="F155" s="1130"/>
      <c r="G155" s="1130"/>
      <c r="H155" s="1130"/>
      <c r="I155" s="1131"/>
      <c r="J155" s="1088" t="s">
        <v>326</v>
      </c>
      <c r="K155" s="51">
        <f>SUM(L31)</f>
        <v>1357500000</v>
      </c>
      <c r="L155" s="315"/>
      <c r="M155" s="1006"/>
      <c r="N155" s="830"/>
      <c r="O155" s="131"/>
      <c r="P155" s="118"/>
    </row>
    <row r="156" spans="1:16" s="132" customFormat="1" ht="15" customHeight="1" x14ac:dyDescent="0.25">
      <c r="A156" s="1129" t="s">
        <v>189</v>
      </c>
      <c r="B156" s="1130"/>
      <c r="C156" s="1130"/>
      <c r="D156" s="1130"/>
      <c r="E156" s="1130"/>
      <c r="F156" s="1130"/>
      <c r="G156" s="1130"/>
      <c r="H156" s="1130"/>
      <c r="I156" s="1131"/>
      <c r="J156" s="1089" t="s">
        <v>327</v>
      </c>
      <c r="K156" s="51">
        <f>SUM(L43)</f>
        <v>187150000</v>
      </c>
      <c r="L156" s="315"/>
      <c r="M156" s="1006"/>
      <c r="N156" s="830"/>
      <c r="O156" s="131"/>
      <c r="P156" s="118"/>
    </row>
    <row r="157" spans="1:16" s="132" customFormat="1" ht="15" customHeight="1" x14ac:dyDescent="0.25">
      <c r="A157" s="1129" t="s">
        <v>190</v>
      </c>
      <c r="B157" s="1130"/>
      <c r="C157" s="1130"/>
      <c r="D157" s="1130"/>
      <c r="E157" s="1130"/>
      <c r="F157" s="1130"/>
      <c r="G157" s="1130"/>
      <c r="H157" s="1130"/>
      <c r="I157" s="1131"/>
      <c r="J157" s="1089" t="s">
        <v>328</v>
      </c>
      <c r="K157" s="51">
        <f>SUM(L51+L38)</f>
        <v>765100000</v>
      </c>
      <c r="L157" s="315"/>
      <c r="M157" s="1006"/>
      <c r="N157" s="830"/>
      <c r="O157" s="131"/>
      <c r="P157" s="118"/>
    </row>
    <row r="158" spans="1:16" s="132" customFormat="1" ht="15" customHeight="1" x14ac:dyDescent="0.25">
      <c r="A158" s="1129" t="s">
        <v>191</v>
      </c>
      <c r="B158" s="1130"/>
      <c r="C158" s="1130"/>
      <c r="D158" s="1130"/>
      <c r="E158" s="1130"/>
      <c r="F158" s="1130"/>
      <c r="G158" s="1130"/>
      <c r="H158" s="1130"/>
      <c r="I158" s="1131"/>
      <c r="J158" s="1089" t="s">
        <v>329</v>
      </c>
      <c r="K158" s="51">
        <f>SUM(L59+L64+L70+L76+L74)</f>
        <v>846788647.77999997</v>
      </c>
      <c r="L158" s="315"/>
      <c r="M158" s="1006"/>
      <c r="N158" s="830"/>
      <c r="O158" s="131"/>
      <c r="P158" s="118"/>
    </row>
    <row r="159" spans="1:16" s="132" customFormat="1" ht="15" customHeight="1" x14ac:dyDescent="0.25">
      <c r="A159" s="1174" t="s">
        <v>192</v>
      </c>
      <c r="B159" s="1175"/>
      <c r="C159" s="1175"/>
      <c r="D159" s="1175"/>
      <c r="E159" s="1175"/>
      <c r="F159" s="1175"/>
      <c r="G159" s="1175"/>
      <c r="H159" s="1175"/>
      <c r="I159" s="1176"/>
      <c r="J159" s="1089" t="s">
        <v>330</v>
      </c>
      <c r="K159" s="51">
        <f>SUM(L60)</f>
        <v>150000</v>
      </c>
      <c r="L159" s="315"/>
      <c r="M159" s="1006"/>
      <c r="N159" s="830"/>
      <c r="O159" s="131"/>
      <c r="P159" s="118"/>
    </row>
    <row r="160" spans="1:16" s="132" customFormat="1" ht="15" customHeight="1" x14ac:dyDescent="0.25">
      <c r="A160" s="1174" t="s">
        <v>193</v>
      </c>
      <c r="B160" s="1175"/>
      <c r="C160" s="1175"/>
      <c r="D160" s="1175"/>
      <c r="E160" s="1175"/>
      <c r="F160" s="1175"/>
      <c r="G160" s="1175"/>
      <c r="H160" s="1175"/>
      <c r="I160" s="1176"/>
      <c r="J160" s="1089" t="s">
        <v>331</v>
      </c>
      <c r="K160" s="51">
        <f>SUM(L62+L63+L61)</f>
        <v>441000000</v>
      </c>
      <c r="L160" s="315"/>
      <c r="M160" s="1006"/>
      <c r="N160" s="830"/>
      <c r="O160" s="131"/>
      <c r="P160" s="118"/>
    </row>
    <row r="161" spans="1:16" s="132" customFormat="1" ht="15" customHeight="1" x14ac:dyDescent="0.25">
      <c r="A161" s="1090" t="s">
        <v>368</v>
      </c>
      <c r="B161" s="1091"/>
      <c r="C161" s="1092"/>
      <c r="D161" s="1091"/>
      <c r="E161" s="146"/>
      <c r="F161" s="1093"/>
      <c r="G161" s="1094"/>
      <c r="H161" s="413"/>
      <c r="I161" s="137"/>
      <c r="J161" s="1089" t="s">
        <v>332</v>
      </c>
      <c r="K161" s="106"/>
      <c r="L161" s="315"/>
      <c r="M161" s="1006"/>
      <c r="N161" s="830"/>
      <c r="O161" s="131"/>
      <c r="P161" s="118"/>
    </row>
    <row r="162" spans="1:16" s="132" customFormat="1" ht="15" customHeight="1" x14ac:dyDescent="0.25">
      <c r="A162" s="1129" t="s">
        <v>194</v>
      </c>
      <c r="B162" s="1130"/>
      <c r="C162" s="1130"/>
      <c r="D162" s="1130"/>
      <c r="E162" s="1130"/>
      <c r="F162" s="1130"/>
      <c r="G162" s="1130"/>
      <c r="H162" s="1130"/>
      <c r="I162" s="1131"/>
      <c r="J162" s="1089" t="s">
        <v>333</v>
      </c>
      <c r="K162" s="51">
        <f>SUM(L53)</f>
        <v>42484886.32</v>
      </c>
      <c r="L162" s="315"/>
      <c r="M162" s="1006"/>
      <c r="N162" s="830"/>
      <c r="O162" s="131"/>
      <c r="P162" s="118"/>
    </row>
    <row r="163" spans="1:16" s="132" customFormat="1" ht="15" customHeight="1" x14ac:dyDescent="0.25">
      <c r="A163" s="1129" t="s">
        <v>195</v>
      </c>
      <c r="B163" s="1130"/>
      <c r="C163" s="1130"/>
      <c r="D163" s="1130"/>
      <c r="E163" s="1130"/>
      <c r="F163" s="1130"/>
      <c r="G163" s="1130"/>
      <c r="H163" s="1130"/>
      <c r="I163" s="1131"/>
      <c r="J163" s="1089" t="s">
        <v>334</v>
      </c>
      <c r="K163" s="51">
        <f>SUM(L56)</f>
        <v>1186867114.8</v>
      </c>
      <c r="L163" s="315"/>
      <c r="M163" s="1006"/>
      <c r="N163" s="830"/>
      <c r="O163" s="131"/>
      <c r="P163" s="118"/>
    </row>
    <row r="164" spans="1:16" s="132" customFormat="1" ht="15" customHeight="1" x14ac:dyDescent="0.25">
      <c r="A164" s="1123" t="s">
        <v>196</v>
      </c>
      <c r="B164" s="1124"/>
      <c r="C164" s="1124"/>
      <c r="D164" s="1124"/>
      <c r="E164" s="1124"/>
      <c r="F164" s="1124"/>
      <c r="G164" s="1124"/>
      <c r="H164" s="1124"/>
      <c r="I164" s="1125"/>
      <c r="J164" s="1089" t="s">
        <v>285</v>
      </c>
      <c r="K164" s="51">
        <f>SUM(L86+L84+L80+L82)</f>
        <v>767350000</v>
      </c>
      <c r="L164" s="315"/>
      <c r="M164" s="1006"/>
      <c r="N164" s="830"/>
      <c r="O164" s="131"/>
      <c r="P164" s="118"/>
    </row>
    <row r="165" spans="1:16" s="132" customFormat="1" ht="15" customHeight="1" x14ac:dyDescent="0.25">
      <c r="A165" s="1126" t="s">
        <v>197</v>
      </c>
      <c r="B165" s="1127"/>
      <c r="C165" s="1127"/>
      <c r="D165" s="1135"/>
      <c r="E165" s="1127"/>
      <c r="F165" s="1127"/>
      <c r="G165" s="1127"/>
      <c r="H165" s="1127"/>
      <c r="I165" s="1128"/>
      <c r="J165" s="1089"/>
      <c r="K165" s="52">
        <f>K166+K175</f>
        <v>5750767000</v>
      </c>
      <c r="L165" s="315"/>
      <c r="M165" s="1006"/>
      <c r="N165" s="830"/>
      <c r="O165" s="131"/>
      <c r="P165" s="118"/>
    </row>
    <row r="166" spans="1:16" s="132" customFormat="1" ht="15" customHeight="1" thickBot="1" x14ac:dyDescent="0.3">
      <c r="A166" s="1095" t="s">
        <v>369</v>
      </c>
      <c r="B166" s="1095"/>
      <c r="C166" s="398"/>
      <c r="D166" s="1096"/>
      <c r="E166" s="146"/>
      <c r="F166" s="1093"/>
      <c r="G166" s="1094"/>
      <c r="H166" s="413"/>
      <c r="I166" s="311"/>
      <c r="J166" s="1089" t="s">
        <v>282</v>
      </c>
      <c r="K166" s="51">
        <f>SUM(L96+L103+L110+L112+L115+L118+L122+L124+L129)</f>
        <v>2960197382.27</v>
      </c>
      <c r="L166" s="315"/>
      <c r="M166" s="1006"/>
      <c r="N166" s="830"/>
      <c r="O166" s="131"/>
      <c r="P166" s="118"/>
    </row>
    <row r="167" spans="1:16" s="132" customFormat="1" ht="15" customHeight="1" x14ac:dyDescent="0.25">
      <c r="A167" s="1129" t="s">
        <v>198</v>
      </c>
      <c r="B167" s="1130"/>
      <c r="C167" s="1130"/>
      <c r="D167" s="1136"/>
      <c r="E167" s="1130"/>
      <c r="F167" s="1130"/>
      <c r="G167" s="1130"/>
      <c r="H167" s="1130"/>
      <c r="I167" s="1131"/>
      <c r="J167" s="1089" t="s">
        <v>335</v>
      </c>
      <c r="K167" s="51">
        <f>SUM(L96)</f>
        <v>357574683.83999997</v>
      </c>
      <c r="L167" s="315"/>
      <c r="M167" s="1006"/>
      <c r="N167" s="830"/>
      <c r="O167" s="131"/>
      <c r="P167" s="118"/>
    </row>
    <row r="168" spans="1:16" s="132" customFormat="1" ht="15" customHeight="1" x14ac:dyDescent="0.25">
      <c r="A168" s="1129" t="s">
        <v>199</v>
      </c>
      <c r="B168" s="1130"/>
      <c r="C168" s="1130"/>
      <c r="D168" s="1130"/>
      <c r="E168" s="1130"/>
      <c r="F168" s="1130"/>
      <c r="G168" s="1130"/>
      <c r="H168" s="1130"/>
      <c r="I168" s="1131"/>
      <c r="J168" s="1089" t="s">
        <v>336</v>
      </c>
      <c r="K168" s="51">
        <f>SUM(L103)</f>
        <v>1213064156.98</v>
      </c>
      <c r="L168" s="315"/>
      <c r="M168" s="1006"/>
      <c r="N168" s="830"/>
      <c r="O168" s="131"/>
      <c r="P168" s="118"/>
    </row>
    <row r="169" spans="1:16" s="132" customFormat="1" ht="15" customHeight="1" x14ac:dyDescent="0.25">
      <c r="A169" s="1129" t="s">
        <v>200</v>
      </c>
      <c r="B169" s="1130"/>
      <c r="C169" s="1130"/>
      <c r="D169" s="1130"/>
      <c r="E169" s="1130"/>
      <c r="F169" s="1130"/>
      <c r="G169" s="1130"/>
      <c r="H169" s="1130"/>
      <c r="I169" s="1131"/>
      <c r="J169" s="1089" t="s">
        <v>337</v>
      </c>
      <c r="K169" s="51">
        <f>SUM(L112)</f>
        <v>9772000</v>
      </c>
      <c r="L169" s="315"/>
      <c r="M169" s="1006"/>
      <c r="N169" s="830"/>
      <c r="O169" s="131"/>
      <c r="P169" s="118"/>
    </row>
    <row r="170" spans="1:16" s="132" customFormat="1" ht="15" customHeight="1" x14ac:dyDescent="0.25">
      <c r="A170" s="1141" t="s">
        <v>201</v>
      </c>
      <c r="B170" s="1141"/>
      <c r="C170" s="1141"/>
      <c r="D170" s="1141"/>
      <c r="E170" s="1141"/>
      <c r="F170" s="1141"/>
      <c r="G170" s="1141"/>
      <c r="H170" s="1141"/>
      <c r="I170" s="1141"/>
      <c r="J170" s="1089" t="s">
        <v>338</v>
      </c>
      <c r="K170" s="51">
        <f>SUM(L115)</f>
        <v>192188028</v>
      </c>
      <c r="L170" s="315"/>
      <c r="M170" s="1006"/>
      <c r="N170" s="830"/>
      <c r="O170" s="131"/>
      <c r="P170" s="118"/>
    </row>
    <row r="171" spans="1:16" s="132" customFormat="1" ht="15" customHeight="1" x14ac:dyDescent="0.25">
      <c r="A171" s="1129" t="s">
        <v>202</v>
      </c>
      <c r="B171" s="1130"/>
      <c r="C171" s="1130"/>
      <c r="D171" s="1130"/>
      <c r="E171" s="1130"/>
      <c r="F171" s="1130"/>
      <c r="G171" s="1130"/>
      <c r="H171" s="1130"/>
      <c r="I171" s="1131"/>
      <c r="J171" s="1089" t="s">
        <v>339</v>
      </c>
      <c r="K171" s="1076">
        <f>SUM(L122)</f>
        <v>380240000</v>
      </c>
      <c r="L171" s="316"/>
      <c r="M171" s="1007"/>
      <c r="N171" s="830"/>
      <c r="O171" s="131"/>
      <c r="P171" s="118"/>
    </row>
    <row r="172" spans="1:16" s="132" customFormat="1" ht="15" customHeight="1" x14ac:dyDescent="0.25">
      <c r="A172" s="1129" t="s">
        <v>203</v>
      </c>
      <c r="B172" s="1130"/>
      <c r="C172" s="1130"/>
      <c r="D172" s="1130"/>
      <c r="E172" s="1130"/>
      <c r="F172" s="1130"/>
      <c r="G172" s="1130"/>
      <c r="H172" s="1130"/>
      <c r="I172" s="1131"/>
      <c r="J172" s="1089" t="s">
        <v>340</v>
      </c>
      <c r="K172" s="51">
        <f>SUM(L124+L129)</f>
        <v>369445312.39999998</v>
      </c>
      <c r="L172" s="315"/>
      <c r="M172" s="1006"/>
      <c r="N172" s="830"/>
      <c r="O172" s="131"/>
      <c r="P172" s="118"/>
    </row>
    <row r="173" spans="1:16" s="132" customFormat="1" ht="15" customHeight="1" x14ac:dyDescent="0.25">
      <c r="A173" s="1129" t="s">
        <v>204</v>
      </c>
      <c r="B173" s="1130"/>
      <c r="C173" s="1130"/>
      <c r="D173" s="1130"/>
      <c r="E173" s="1130"/>
      <c r="F173" s="1130"/>
      <c r="G173" s="1130"/>
      <c r="H173" s="1130"/>
      <c r="I173" s="1131"/>
      <c r="J173" s="1089" t="s">
        <v>341</v>
      </c>
      <c r="K173" s="51">
        <v>220394000</v>
      </c>
      <c r="L173" s="317"/>
      <c r="M173" s="1006"/>
      <c r="N173" s="131"/>
      <c r="O173" s="131"/>
      <c r="P173" s="118"/>
    </row>
    <row r="174" spans="1:16" s="132" customFormat="1" ht="15" customHeight="1" x14ac:dyDescent="0.25">
      <c r="A174" s="1129" t="s">
        <v>205</v>
      </c>
      <c r="B174" s="1130"/>
      <c r="C174" s="1130"/>
      <c r="D174" s="1130"/>
      <c r="E174" s="1130"/>
      <c r="F174" s="1130"/>
      <c r="G174" s="1130"/>
      <c r="H174" s="1130"/>
      <c r="I174" s="1131"/>
      <c r="J174" s="1089" t="s">
        <v>342</v>
      </c>
      <c r="K174" s="51">
        <v>48428651.049999997</v>
      </c>
      <c r="L174" s="317"/>
      <c r="M174" s="1006"/>
      <c r="N174" s="131"/>
      <c r="O174" s="131"/>
      <c r="P174" s="118"/>
    </row>
    <row r="175" spans="1:16" s="132" customFormat="1" ht="15" customHeight="1" x14ac:dyDescent="0.25">
      <c r="A175" s="1123" t="s">
        <v>206</v>
      </c>
      <c r="B175" s="1124"/>
      <c r="C175" s="1124"/>
      <c r="D175" s="1124"/>
      <c r="E175" s="1124"/>
      <c r="F175" s="1124"/>
      <c r="G175" s="1124"/>
      <c r="H175" s="1124"/>
      <c r="I175" s="1125"/>
      <c r="J175" s="1089" t="s">
        <v>283</v>
      </c>
      <c r="K175" s="51">
        <f>SUM(L131+L136+L138)</f>
        <v>2790569617.73</v>
      </c>
      <c r="L175" s="315"/>
      <c r="M175" s="1006"/>
      <c r="N175" s="131"/>
      <c r="O175" s="131"/>
      <c r="P175" s="118"/>
    </row>
    <row r="176" spans="1:16" s="132" customFormat="1" ht="15" customHeight="1" x14ac:dyDescent="0.25">
      <c r="A176" s="1126" t="s">
        <v>207</v>
      </c>
      <c r="B176" s="1127"/>
      <c r="C176" s="1127"/>
      <c r="D176" s="1127"/>
      <c r="E176" s="1127"/>
      <c r="F176" s="1127"/>
      <c r="G176" s="1127"/>
      <c r="H176" s="1127"/>
      <c r="I176" s="1128"/>
      <c r="J176" s="1097" t="s">
        <v>343</v>
      </c>
      <c r="K176" s="52">
        <f>(K153+K164)-(K166+K175)</f>
        <v>-588026351.10000038</v>
      </c>
      <c r="L176" s="315"/>
      <c r="M176" s="1006"/>
      <c r="N176" s="131"/>
      <c r="O176" s="131"/>
      <c r="P176" s="118"/>
    </row>
    <row r="177" spans="1:16" s="132" customFormat="1" ht="24.75" customHeight="1" x14ac:dyDescent="0.25">
      <c r="A177" s="1177" t="s">
        <v>357</v>
      </c>
      <c r="B177" s="1178"/>
      <c r="C177" s="1178"/>
      <c r="D177" s="1178"/>
      <c r="E177" s="1178"/>
      <c r="F177" s="1178"/>
      <c r="G177" s="1178"/>
      <c r="H177" s="1178"/>
      <c r="I177" s="1179"/>
      <c r="J177" s="1089" t="s">
        <v>355</v>
      </c>
      <c r="K177" s="51">
        <f>(K153-K159+K164)-(K166-K169+K175)</f>
        <v>-578404351.10000038</v>
      </c>
      <c r="L177" s="315"/>
      <c r="M177" s="1006"/>
      <c r="N177" s="830"/>
      <c r="O177" s="131"/>
      <c r="P177" s="118"/>
    </row>
    <row r="178" spans="1:16" s="132" customFormat="1" ht="15" customHeight="1" x14ac:dyDescent="0.25">
      <c r="A178" s="1166" t="s">
        <v>358</v>
      </c>
      <c r="B178" s="1167"/>
      <c r="C178" s="1167"/>
      <c r="D178" s="1167"/>
      <c r="E178" s="1167"/>
      <c r="F178" s="1167"/>
      <c r="G178" s="1167"/>
      <c r="H178" s="1167"/>
      <c r="I178" s="1168"/>
      <c r="J178" s="1098"/>
      <c r="K178" s="1099">
        <f>K176+K182</f>
        <v>-588126351.10000038</v>
      </c>
      <c r="L178" s="315"/>
      <c r="M178" s="1006"/>
      <c r="N178" s="830"/>
      <c r="O178" s="131"/>
      <c r="P178" s="118"/>
    </row>
    <row r="179" spans="1:16" s="132" customFormat="1" ht="24.75" customHeight="1" x14ac:dyDescent="0.25">
      <c r="A179" s="1169" t="s">
        <v>359</v>
      </c>
      <c r="B179" s="1170"/>
      <c r="C179" s="1170"/>
      <c r="D179" s="1170"/>
      <c r="E179" s="1170"/>
      <c r="F179" s="1170"/>
      <c r="G179" s="1170"/>
      <c r="H179" s="1170"/>
      <c r="I179" s="1170"/>
      <c r="J179" s="1100"/>
      <c r="K179" s="1086"/>
      <c r="L179" s="315"/>
      <c r="M179" s="1006"/>
      <c r="N179" s="830"/>
      <c r="O179" s="131"/>
      <c r="P179" s="118"/>
    </row>
    <row r="180" spans="1:16" s="132" customFormat="1" ht="15" customHeight="1" x14ac:dyDescent="0.25">
      <c r="A180" s="1142" t="s">
        <v>360</v>
      </c>
      <c r="B180" s="1143"/>
      <c r="C180" s="1143"/>
      <c r="D180" s="1143"/>
      <c r="E180" s="1143"/>
      <c r="F180" s="1143"/>
      <c r="G180" s="1143"/>
      <c r="H180" s="1143"/>
      <c r="I180" s="1144"/>
      <c r="J180" s="1101" t="s">
        <v>344</v>
      </c>
      <c r="K180" s="318"/>
      <c r="L180" s="315"/>
      <c r="M180" s="1006"/>
      <c r="N180" s="830"/>
      <c r="O180" s="131"/>
      <c r="P180" s="118"/>
    </row>
    <row r="181" spans="1:16" s="132" customFormat="1" ht="15" customHeight="1" x14ac:dyDescent="0.25">
      <c r="A181" s="1102" t="s">
        <v>677</v>
      </c>
      <c r="B181" s="1103"/>
      <c r="C181" s="1104"/>
      <c r="D181" s="1103"/>
      <c r="E181" s="1105"/>
      <c r="F181" s="1106"/>
      <c r="G181" s="1107"/>
      <c r="H181" s="1108"/>
      <c r="I181" s="1109"/>
      <c r="J181" s="1097" t="s">
        <v>349</v>
      </c>
      <c r="K181" s="52">
        <f>SUM(L140)</f>
        <v>100000</v>
      </c>
      <c r="L181" s="315"/>
      <c r="M181" s="1006"/>
      <c r="N181" s="830"/>
      <c r="O181" s="131"/>
      <c r="P181" s="118"/>
    </row>
    <row r="182" spans="1:16" s="132" customFormat="1" ht="29.25" customHeight="1" x14ac:dyDescent="0.25">
      <c r="A182" s="1163" t="s">
        <v>371</v>
      </c>
      <c r="B182" s="1164"/>
      <c r="C182" s="1164"/>
      <c r="D182" s="1164"/>
      <c r="E182" s="1164"/>
      <c r="F182" s="1164"/>
      <c r="G182" s="1164"/>
      <c r="H182" s="1164"/>
      <c r="I182" s="1165"/>
      <c r="J182" s="1110" t="s">
        <v>356</v>
      </c>
      <c r="K182" s="319">
        <f>SUM(K180-K181)</f>
        <v>-100000</v>
      </c>
      <c r="L182" s="315"/>
      <c r="M182" s="1006"/>
      <c r="N182" s="830"/>
      <c r="O182" s="131"/>
      <c r="P182" s="118"/>
    </row>
    <row r="183" spans="1:16" s="132" customFormat="1" ht="15" customHeight="1" x14ac:dyDescent="0.25">
      <c r="A183" s="1169" t="s">
        <v>370</v>
      </c>
      <c r="B183" s="1170"/>
      <c r="C183" s="1170"/>
      <c r="D183" s="1170"/>
      <c r="E183" s="1170"/>
      <c r="F183" s="1170"/>
      <c r="G183" s="1170"/>
      <c r="H183" s="1170"/>
      <c r="I183" s="1170"/>
      <c r="J183" s="1100"/>
      <c r="K183" s="1086"/>
      <c r="L183" s="315"/>
      <c r="M183" s="1006"/>
      <c r="N183" s="830"/>
      <c r="O183" s="131"/>
      <c r="P183" s="118"/>
    </row>
    <row r="184" spans="1:16" s="132" customFormat="1" ht="18.75" customHeight="1" x14ac:dyDescent="0.25">
      <c r="A184" s="1171" t="s">
        <v>361</v>
      </c>
      <c r="B184" s="1172"/>
      <c r="C184" s="1172"/>
      <c r="D184" s="1172"/>
      <c r="E184" s="1172"/>
      <c r="F184" s="1172"/>
      <c r="G184" s="1172"/>
      <c r="H184" s="1172"/>
      <c r="I184" s="1173"/>
      <c r="J184" s="1101" t="s">
        <v>345</v>
      </c>
      <c r="K184" s="318">
        <f>SUM(K185+K188)</f>
        <v>588126351.10000002</v>
      </c>
      <c r="L184" s="315"/>
      <c r="M184" s="1006"/>
      <c r="N184" s="830"/>
      <c r="O184" s="131"/>
      <c r="P184" s="118"/>
    </row>
    <row r="185" spans="1:16" s="132" customFormat="1" ht="18" customHeight="1" x14ac:dyDescent="0.25">
      <c r="A185" s="1129" t="s">
        <v>362</v>
      </c>
      <c r="B185" s="1130"/>
      <c r="C185" s="1130"/>
      <c r="D185" s="1130"/>
      <c r="E185" s="1130"/>
      <c r="F185" s="1130"/>
      <c r="G185" s="1130"/>
      <c r="H185" s="1130"/>
      <c r="I185" s="1131"/>
      <c r="J185" s="1089" t="s">
        <v>346</v>
      </c>
      <c r="K185" s="51">
        <f>SUM(L89)</f>
        <v>588126351.10000002</v>
      </c>
      <c r="L185" s="315"/>
      <c r="M185" s="1006"/>
      <c r="N185" s="830"/>
      <c r="O185" s="131"/>
      <c r="P185" s="118"/>
    </row>
    <row r="186" spans="1:16" s="132" customFormat="1" ht="15.75" customHeight="1" x14ac:dyDescent="0.25">
      <c r="A186" s="1129" t="s">
        <v>363</v>
      </c>
      <c r="B186" s="1130"/>
      <c r="C186" s="1130"/>
      <c r="D186" s="1130"/>
      <c r="E186" s="1130"/>
      <c r="F186" s="1130"/>
      <c r="G186" s="1130"/>
      <c r="H186" s="1130"/>
      <c r="I186" s="1131"/>
      <c r="J186" s="1089" t="s">
        <v>347</v>
      </c>
      <c r="K186" s="51">
        <v>588126351.10000002</v>
      </c>
      <c r="L186" s="315"/>
      <c r="M186" s="1006"/>
      <c r="N186" s="830"/>
      <c r="O186" s="131"/>
      <c r="P186" s="118"/>
    </row>
    <row r="187" spans="1:16" s="132" customFormat="1" ht="36" customHeight="1" x14ac:dyDescent="0.25">
      <c r="A187" s="1129" t="s">
        <v>208</v>
      </c>
      <c r="B187" s="1130"/>
      <c r="C187" s="1130"/>
      <c r="D187" s="1130"/>
      <c r="E187" s="1130"/>
      <c r="F187" s="1130"/>
      <c r="G187" s="1130"/>
      <c r="H187" s="1130"/>
      <c r="I187" s="1131"/>
      <c r="J187" s="1111" t="s">
        <v>364</v>
      </c>
      <c r="K187" s="106"/>
      <c r="L187" s="315"/>
      <c r="M187" s="1006"/>
      <c r="N187" s="830"/>
      <c r="O187" s="131"/>
      <c r="P187" s="118"/>
    </row>
    <row r="188" spans="1:16" s="132" customFormat="1" ht="18" customHeight="1" x14ac:dyDescent="0.25">
      <c r="A188" s="1129" t="s">
        <v>209</v>
      </c>
      <c r="B188" s="1130"/>
      <c r="C188" s="1130"/>
      <c r="D188" s="1130"/>
      <c r="E188" s="1130"/>
      <c r="F188" s="1130"/>
      <c r="G188" s="1130"/>
      <c r="H188" s="1130"/>
      <c r="I188" s="1131"/>
      <c r="J188" s="1089" t="s">
        <v>348</v>
      </c>
      <c r="K188" s="106"/>
      <c r="L188" s="315"/>
      <c r="M188" s="1006"/>
      <c r="N188" s="830"/>
      <c r="O188" s="131"/>
      <c r="P188" s="118"/>
    </row>
    <row r="189" spans="1:16" s="132" customFormat="1" ht="17.25" customHeight="1" x14ac:dyDescent="0.25">
      <c r="A189" s="1183" t="s">
        <v>365</v>
      </c>
      <c r="B189" s="1184"/>
      <c r="C189" s="1184"/>
      <c r="D189" s="1184"/>
      <c r="E189" s="1184"/>
      <c r="F189" s="1184"/>
      <c r="G189" s="1184"/>
      <c r="H189" s="1184"/>
      <c r="I189" s="1185"/>
      <c r="J189" s="1097" t="s">
        <v>350</v>
      </c>
      <c r="K189" s="52"/>
      <c r="L189" s="315"/>
      <c r="M189" s="1006"/>
      <c r="N189" s="830"/>
      <c r="O189" s="131"/>
      <c r="P189" s="118"/>
    </row>
    <row r="190" spans="1:16" s="132" customFormat="1" ht="17.25" customHeight="1" x14ac:dyDescent="0.25">
      <c r="A190" s="1129" t="s">
        <v>210</v>
      </c>
      <c r="B190" s="1130"/>
      <c r="C190" s="1130"/>
      <c r="D190" s="1130"/>
      <c r="E190" s="1130"/>
      <c r="F190" s="1130"/>
      <c r="G190" s="1130"/>
      <c r="H190" s="1130"/>
      <c r="I190" s="1131"/>
      <c r="J190" s="1089" t="s">
        <v>351</v>
      </c>
      <c r="K190" s="51"/>
      <c r="L190" s="315"/>
      <c r="M190" s="1006"/>
      <c r="N190" s="830"/>
      <c r="O190" s="131"/>
      <c r="P190" s="118"/>
    </row>
    <row r="191" spans="1:16" s="132" customFormat="1" ht="18" customHeight="1" x14ac:dyDescent="0.25">
      <c r="A191" s="1129" t="s">
        <v>323</v>
      </c>
      <c r="B191" s="1130"/>
      <c r="C191" s="1130"/>
      <c r="D191" s="1130"/>
      <c r="E191" s="1130"/>
      <c r="F191" s="1130"/>
      <c r="G191" s="1130"/>
      <c r="H191" s="1130"/>
      <c r="I191" s="1131"/>
      <c r="J191" s="1089" t="s">
        <v>352</v>
      </c>
      <c r="K191" s="51"/>
      <c r="L191" s="315"/>
      <c r="M191" s="1006"/>
      <c r="N191" s="830"/>
      <c r="O191" s="131"/>
      <c r="P191" s="118"/>
    </row>
    <row r="192" spans="1:16" s="132" customFormat="1" ht="36" customHeight="1" x14ac:dyDescent="0.25">
      <c r="A192" s="1129" t="s">
        <v>211</v>
      </c>
      <c r="B192" s="1130"/>
      <c r="C192" s="1130"/>
      <c r="D192" s="1130"/>
      <c r="E192" s="1130"/>
      <c r="F192" s="1130"/>
      <c r="G192" s="1130"/>
      <c r="H192" s="1130"/>
      <c r="I192" s="1131"/>
      <c r="J192" s="1111" t="s">
        <v>366</v>
      </c>
      <c r="K192" s="106"/>
      <c r="L192" s="315"/>
      <c r="M192" s="1006"/>
      <c r="N192" s="830"/>
      <c r="O192" s="131"/>
      <c r="P192" s="118"/>
    </row>
    <row r="193" spans="1:16" s="132" customFormat="1" ht="15" customHeight="1" x14ac:dyDescent="0.25">
      <c r="A193" s="1129" t="s">
        <v>212</v>
      </c>
      <c r="B193" s="1130"/>
      <c r="C193" s="1130"/>
      <c r="D193" s="1130"/>
      <c r="E193" s="1130"/>
      <c r="F193" s="1130"/>
      <c r="G193" s="1130"/>
      <c r="H193" s="1130"/>
      <c r="I193" s="1131"/>
      <c r="J193" s="1088" t="s">
        <v>353</v>
      </c>
      <c r="K193" s="106"/>
      <c r="L193" s="315"/>
      <c r="M193" s="1006"/>
      <c r="N193" s="830"/>
      <c r="O193" s="131"/>
      <c r="P193" s="118"/>
    </row>
    <row r="194" spans="1:16" s="132" customFormat="1" ht="15" customHeight="1" x14ac:dyDescent="0.25">
      <c r="A194" s="1180" t="s">
        <v>372</v>
      </c>
      <c r="B194" s="1181"/>
      <c r="C194" s="1181"/>
      <c r="D194" s="1181"/>
      <c r="E194" s="1181"/>
      <c r="F194" s="1181"/>
      <c r="G194" s="1181"/>
      <c r="H194" s="1181"/>
      <c r="I194" s="1182"/>
      <c r="J194" s="1112"/>
      <c r="K194" s="52"/>
      <c r="L194" s="315"/>
      <c r="M194" s="1006"/>
      <c r="N194" s="830"/>
      <c r="O194" s="131"/>
      <c r="P194" s="118"/>
    </row>
    <row r="195" spans="1:16" s="132" customFormat="1" ht="15" customHeight="1" x14ac:dyDescent="0.25">
      <c r="A195" s="1180" t="s">
        <v>367</v>
      </c>
      <c r="B195" s="1181"/>
      <c r="C195" s="1181"/>
      <c r="D195" s="1181"/>
      <c r="E195" s="1181"/>
      <c r="F195" s="1181"/>
      <c r="G195" s="1181"/>
      <c r="H195" s="1181"/>
      <c r="I195" s="1182"/>
      <c r="J195" s="1112"/>
      <c r="K195" s="52">
        <f>K182+K184-K189-K194</f>
        <v>588026351.10000002</v>
      </c>
      <c r="L195" s="315"/>
      <c r="M195" s="1006"/>
      <c r="N195" s="830"/>
      <c r="O195" s="131"/>
      <c r="P195" s="118"/>
    </row>
    <row r="196" spans="1:16" s="132" customFormat="1" ht="21.75" customHeight="1" x14ac:dyDescent="0.25">
      <c r="A196" s="128"/>
      <c r="B196" s="127"/>
      <c r="C196" s="128"/>
      <c r="D196" s="127"/>
      <c r="E196" s="146"/>
      <c r="F196" s="740"/>
      <c r="G196" s="393"/>
      <c r="H196" s="129"/>
      <c r="I196" s="130"/>
      <c r="J196" s="479"/>
      <c r="K196" s="479"/>
      <c r="L196" s="479"/>
      <c r="M196" s="1006"/>
      <c r="N196" s="830"/>
      <c r="O196" s="131"/>
      <c r="P196" s="118"/>
    </row>
    <row r="197" spans="1:16" s="132" customFormat="1" ht="15" customHeight="1" x14ac:dyDescent="0.25">
      <c r="A197" s="1186" t="s">
        <v>182</v>
      </c>
      <c r="B197" s="1186"/>
      <c r="C197" s="1186"/>
      <c r="D197" s="1186"/>
      <c r="E197" s="1186"/>
      <c r="F197" s="1186"/>
      <c r="G197" s="1186"/>
      <c r="H197" s="1186"/>
      <c r="I197" s="1186"/>
      <c r="J197" s="1186"/>
      <c r="K197" s="1186"/>
      <c r="L197" s="1186"/>
      <c r="M197" s="1008"/>
      <c r="N197" s="830"/>
      <c r="O197" s="131"/>
      <c r="P197" s="118"/>
    </row>
    <row r="198" spans="1:16" s="132" customFormat="1" ht="15" customHeight="1" x14ac:dyDescent="0.25">
      <c r="A198" s="385"/>
      <c r="B198" s="385"/>
      <c r="C198" s="397"/>
      <c r="D198" s="385"/>
      <c r="E198" s="445"/>
      <c r="F198" s="741"/>
      <c r="G198" s="385"/>
      <c r="H198" s="397"/>
      <c r="I198" s="385"/>
      <c r="J198" s="385"/>
      <c r="K198" s="385"/>
      <c r="L198" s="480"/>
      <c r="M198" s="1008"/>
      <c r="N198" s="830"/>
      <c r="O198" s="131"/>
      <c r="P198" s="118"/>
    </row>
    <row r="199" spans="1:16" s="132" customFormat="1" ht="15" customHeight="1" x14ac:dyDescent="0.25">
      <c r="A199" s="122"/>
      <c r="B199" s="122"/>
      <c r="C199" s="396"/>
      <c r="D199" s="134" t="s">
        <v>1012</v>
      </c>
      <c r="E199" s="151"/>
      <c r="F199" s="742"/>
      <c r="G199" s="134"/>
      <c r="H199" s="412"/>
      <c r="I199" s="135"/>
      <c r="J199" s="480"/>
      <c r="K199" s="480"/>
      <c r="L199" s="480"/>
      <c r="M199" s="1008"/>
      <c r="N199" s="830"/>
      <c r="O199" s="131"/>
      <c r="P199" s="118"/>
    </row>
    <row r="200" spans="1:16" s="132" customFormat="1" ht="18.75" customHeight="1" x14ac:dyDescent="0.25">
      <c r="A200" s="1187"/>
      <c r="B200" s="1187"/>
      <c r="C200" s="1187"/>
      <c r="D200" s="1187"/>
      <c r="E200" s="1187"/>
      <c r="F200" s="1187"/>
      <c r="G200" s="1187"/>
      <c r="H200" s="1187"/>
      <c r="I200" s="1187"/>
      <c r="J200" s="315"/>
      <c r="K200" s="315"/>
      <c r="L200" s="315"/>
      <c r="M200" s="1009"/>
      <c r="N200" s="830"/>
      <c r="O200" s="131"/>
      <c r="P200" s="118"/>
    </row>
    <row r="201" spans="1:16" s="159" customFormat="1" ht="66.75" customHeight="1" x14ac:dyDescent="0.2">
      <c r="A201" s="1193" t="s">
        <v>375</v>
      </c>
      <c r="B201" s="1193"/>
      <c r="C201" s="1188" t="s">
        <v>374</v>
      </c>
      <c r="D201" s="1188"/>
      <c r="E201" s="1188"/>
      <c r="F201" s="1189" t="s">
        <v>373</v>
      </c>
      <c r="G201" s="1189"/>
      <c r="H201" s="1189"/>
      <c r="I201" s="1190"/>
      <c r="J201" s="505" t="s">
        <v>156</v>
      </c>
      <c r="K201" s="496" t="s">
        <v>281</v>
      </c>
      <c r="L201" s="506" t="s">
        <v>157</v>
      </c>
      <c r="M201" s="1010"/>
      <c r="N201" s="121"/>
      <c r="O201" s="121"/>
      <c r="P201" s="121"/>
    </row>
    <row r="202" spans="1:16" s="159" customFormat="1" ht="21.75" customHeight="1" x14ac:dyDescent="0.2">
      <c r="A202" s="1158">
        <v>1</v>
      </c>
      <c r="B202" s="1158"/>
      <c r="C202" s="1154" t="s">
        <v>249</v>
      </c>
      <c r="D202" s="1154"/>
      <c r="E202" s="1154"/>
      <c r="F202" s="413" t="s">
        <v>558</v>
      </c>
      <c r="G202" s="387"/>
      <c r="H202" s="413"/>
      <c r="I202" s="137"/>
      <c r="J202" s="320">
        <f>SUMIF($D$234:$D$2295,1101,(J$234:J$2298))</f>
        <v>22748002</v>
      </c>
      <c r="K202" s="320">
        <f>SUMIF($D$448:$D$2260,1101,(K$448:K$2265))</f>
        <v>0</v>
      </c>
      <c r="L202" s="320">
        <f>SUM(J202:K202)</f>
        <v>22748002</v>
      </c>
      <c r="M202" s="1011"/>
      <c r="N202" s="121"/>
      <c r="O202" s="121"/>
      <c r="P202" s="121"/>
    </row>
    <row r="203" spans="1:16" s="159" customFormat="1" ht="21" customHeight="1" x14ac:dyDescent="0.2">
      <c r="A203" s="1158">
        <v>2</v>
      </c>
      <c r="B203" s="1158"/>
      <c r="C203" s="1154" t="s">
        <v>454</v>
      </c>
      <c r="D203" s="1154"/>
      <c r="E203" s="1154"/>
      <c r="F203" s="413" t="s">
        <v>559</v>
      </c>
      <c r="G203" s="387"/>
      <c r="H203" s="413"/>
      <c r="I203" s="137"/>
      <c r="J203" s="320">
        <f>SUMIF($D$234:$D$2295,1102,(J$234:J$2298))</f>
        <v>806765191.92999995</v>
      </c>
      <c r="K203" s="320">
        <f>SUMIF($D$448:$D$2260,1102,(K$448:K$2265))</f>
        <v>0</v>
      </c>
      <c r="L203" s="320">
        <f t="shared" ref="L203:L218" si="15">SUM(J203:K203)</f>
        <v>806765191.92999995</v>
      </c>
      <c r="M203" s="1011"/>
      <c r="N203" s="121"/>
      <c r="O203" s="121"/>
      <c r="P203" s="121"/>
    </row>
    <row r="204" spans="1:16" s="132" customFormat="1" ht="20.25" customHeight="1" x14ac:dyDescent="0.25">
      <c r="A204" s="1158">
        <v>3</v>
      </c>
      <c r="B204" s="1158"/>
      <c r="C204" s="1154" t="s">
        <v>253</v>
      </c>
      <c r="D204" s="1154"/>
      <c r="E204" s="1154"/>
      <c r="F204" s="413" t="s">
        <v>378</v>
      </c>
      <c r="G204" s="387"/>
      <c r="H204" s="413"/>
      <c r="I204" s="137"/>
      <c r="J204" s="320">
        <f>SUMIF($D$234:$D$2295,1501,(J$234:J$2298))</f>
        <v>139238431</v>
      </c>
      <c r="K204" s="320">
        <f>SUMIF($D$455:$D$2260,1501,(K$455:K$2265))</f>
        <v>0</v>
      </c>
      <c r="L204" s="320">
        <f t="shared" si="15"/>
        <v>139238431</v>
      </c>
      <c r="M204" s="1011"/>
      <c r="N204" s="830"/>
      <c r="O204" s="131"/>
      <c r="P204" s="118"/>
    </row>
    <row r="205" spans="1:16" s="132" customFormat="1" ht="21.75" customHeight="1" x14ac:dyDescent="0.25">
      <c r="A205" s="1158">
        <v>4</v>
      </c>
      <c r="B205" s="1158"/>
      <c r="C205" s="1154" t="s">
        <v>377</v>
      </c>
      <c r="D205" s="1154"/>
      <c r="E205" s="1154"/>
      <c r="F205" s="413" t="s">
        <v>376</v>
      </c>
      <c r="G205" s="387"/>
      <c r="H205" s="413"/>
      <c r="I205" s="137"/>
      <c r="J205" s="320">
        <f>SUMIF($D$234:$D$2295,1502,(J$234:J$2298))</f>
        <v>21118300</v>
      </c>
      <c r="K205" s="320">
        <f>SUMIF($D$455:$D$2260,1502,(K$455:K$2265))</f>
        <v>282000</v>
      </c>
      <c r="L205" s="320">
        <f t="shared" si="15"/>
        <v>21400300</v>
      </c>
      <c r="M205" s="1011"/>
      <c r="N205" s="830"/>
      <c r="O205" s="131"/>
      <c r="P205" s="118"/>
    </row>
    <row r="206" spans="1:16" s="132" customFormat="1" ht="20.100000000000001" customHeight="1" x14ac:dyDescent="0.25">
      <c r="A206" s="1158">
        <v>5</v>
      </c>
      <c r="B206" s="1158"/>
      <c r="C206" s="1154" t="s">
        <v>254</v>
      </c>
      <c r="D206" s="1154"/>
      <c r="E206" s="1154"/>
      <c r="F206" s="413" t="s">
        <v>560</v>
      </c>
      <c r="G206" s="387"/>
      <c r="H206" s="413"/>
      <c r="I206" s="137"/>
      <c r="J206" s="320">
        <f>SUMIF($D$234:$D$2295,101,(J$234:J$2298))</f>
        <v>249474825</v>
      </c>
      <c r="K206" s="320">
        <f>SUMIF($D$455:$D$2260,101,(K$455:K$2265))</f>
        <v>0</v>
      </c>
      <c r="L206" s="320">
        <f t="shared" si="15"/>
        <v>249474825</v>
      </c>
      <c r="M206" s="1011"/>
      <c r="N206" s="830"/>
      <c r="O206" s="131"/>
      <c r="P206" s="118"/>
    </row>
    <row r="207" spans="1:16" s="132" customFormat="1" ht="20.100000000000001" customHeight="1" x14ac:dyDescent="0.25">
      <c r="A207" s="1158">
        <v>6</v>
      </c>
      <c r="B207" s="1158"/>
      <c r="C207" s="1154" t="s">
        <v>257</v>
      </c>
      <c r="D207" s="1154"/>
      <c r="E207" s="1154"/>
      <c r="F207" s="413" t="s">
        <v>379</v>
      </c>
      <c r="G207" s="387"/>
      <c r="H207" s="413"/>
      <c r="I207" s="137"/>
      <c r="J207" s="320">
        <f>SUMIF($D$234:$D$2295,401,(J$234:J$2298))</f>
        <v>67843280.799999997</v>
      </c>
      <c r="K207" s="320">
        <f>SUMIF($D$455:$D$2260,401,(K$455:K$2265))</f>
        <v>0</v>
      </c>
      <c r="L207" s="320">
        <f t="shared" si="15"/>
        <v>67843280.799999997</v>
      </c>
      <c r="M207" s="1011"/>
      <c r="N207" s="830"/>
      <c r="O207" s="131"/>
      <c r="P207" s="118"/>
    </row>
    <row r="208" spans="1:16" s="132" customFormat="1" ht="20.100000000000001" customHeight="1" x14ac:dyDescent="0.25">
      <c r="A208" s="1158">
        <v>7</v>
      </c>
      <c r="B208" s="1158"/>
      <c r="C208" s="1154" t="s">
        <v>251</v>
      </c>
      <c r="D208" s="1154"/>
      <c r="E208" s="1154"/>
      <c r="F208" s="413" t="s">
        <v>561</v>
      </c>
      <c r="G208" s="387"/>
      <c r="H208" s="413"/>
      <c r="I208" s="137"/>
      <c r="J208" s="320">
        <f>SUMIF($D$234:$D$2295,701,(J$234:J$2298))</f>
        <v>1662640914.01</v>
      </c>
      <c r="K208" s="320">
        <f>SUMIF($D$455:$D$2260,701,(K$455:K$2265))</f>
        <v>0</v>
      </c>
      <c r="L208" s="320">
        <f t="shared" si="15"/>
        <v>1662640914.01</v>
      </c>
      <c r="M208" s="1011"/>
      <c r="N208" s="830"/>
      <c r="O208" s="131"/>
      <c r="P208" s="118"/>
    </row>
    <row r="209" spans="1:16" s="132" customFormat="1" ht="20.100000000000001" customHeight="1" x14ac:dyDescent="0.25">
      <c r="A209" s="1158">
        <v>8</v>
      </c>
      <c r="B209" s="1158"/>
      <c r="C209" s="1154" t="s">
        <v>380</v>
      </c>
      <c r="D209" s="1154"/>
      <c r="E209" s="1154"/>
      <c r="F209" s="413" t="s">
        <v>562</v>
      </c>
      <c r="G209" s="387"/>
      <c r="H209" s="413"/>
      <c r="I209" s="137"/>
      <c r="J209" s="320">
        <f>SUMIF($D$234:$D$2295,2001,(J$234:J$2298))</f>
        <v>429545141.22000003</v>
      </c>
      <c r="K209" s="320">
        <f>SUMIF($D$455:$D$2260,2001,(K$455:K$2265))</f>
        <v>10500000</v>
      </c>
      <c r="L209" s="320">
        <f t="shared" si="15"/>
        <v>440045141.22000003</v>
      </c>
      <c r="M209" s="1011"/>
      <c r="N209" s="830"/>
      <c r="O209" s="131"/>
      <c r="P209" s="118"/>
    </row>
    <row r="210" spans="1:16" s="132" customFormat="1" ht="20.100000000000001" customHeight="1" x14ac:dyDescent="0.25">
      <c r="A210" s="1158">
        <v>9</v>
      </c>
      <c r="B210" s="1158"/>
      <c r="C210" s="1154" t="s">
        <v>381</v>
      </c>
      <c r="D210" s="1154"/>
      <c r="E210" s="1154"/>
      <c r="F210" s="413" t="s">
        <v>563</v>
      </c>
      <c r="G210" s="387"/>
      <c r="H210" s="413"/>
      <c r="I210" s="137"/>
      <c r="J210" s="320">
        <f>SUMIF($D$234:$D$2295,2002,(J$234:J$2298))</f>
        <v>190674002</v>
      </c>
      <c r="K210" s="320">
        <f>SUMIF($D$455:$D$2260,2002,(K$455:K$2265))</f>
        <v>0</v>
      </c>
      <c r="L210" s="320">
        <f t="shared" si="15"/>
        <v>190674002</v>
      </c>
      <c r="M210" s="1011"/>
      <c r="N210" s="830"/>
      <c r="O210" s="131"/>
      <c r="P210" s="118"/>
    </row>
    <row r="211" spans="1:16" s="132" customFormat="1" ht="20.100000000000001" customHeight="1" x14ac:dyDescent="0.25">
      <c r="A211" s="1158">
        <v>10</v>
      </c>
      <c r="B211" s="1158"/>
      <c r="C211" s="1154" t="s">
        <v>382</v>
      </c>
      <c r="D211" s="1154"/>
      <c r="E211" s="1154"/>
      <c r="F211" s="413" t="s">
        <v>564</v>
      </c>
      <c r="G211" s="387"/>
      <c r="H211" s="413"/>
      <c r="I211" s="137"/>
      <c r="J211" s="320">
        <f>SUMIF($D$234:$D$2295,2003,(J$234:J$2298))</f>
        <v>65003651.049999997</v>
      </c>
      <c r="K211" s="320">
        <f>SUMIF($D$455:$D$2260,2003,(K$455:K$2265))</f>
        <v>0</v>
      </c>
      <c r="L211" s="320">
        <f t="shared" si="15"/>
        <v>65003651.049999997</v>
      </c>
      <c r="M211" s="1011"/>
      <c r="N211" s="830"/>
      <c r="O211" s="131"/>
      <c r="P211" s="118"/>
    </row>
    <row r="212" spans="1:16" s="132" customFormat="1" ht="20.100000000000001" customHeight="1" x14ac:dyDescent="0.25">
      <c r="A212" s="1158">
        <v>11</v>
      </c>
      <c r="B212" s="1158"/>
      <c r="C212" s="1154" t="s">
        <v>242</v>
      </c>
      <c r="D212" s="1154"/>
      <c r="E212" s="1154"/>
      <c r="F212" s="413" t="s">
        <v>383</v>
      </c>
      <c r="G212" s="387"/>
      <c r="H212" s="413"/>
      <c r="I212" s="137"/>
      <c r="J212" s="320">
        <f>SUMIF($D$234:$D$2295,901,(J$234:J$2298))</f>
        <v>220210000</v>
      </c>
      <c r="K212" s="320">
        <f>SUMIF($D$455:$D$2260,901,(K$455:K$2265))</f>
        <v>0</v>
      </c>
      <c r="L212" s="320">
        <f t="shared" si="15"/>
        <v>220210000</v>
      </c>
      <c r="M212" s="1011"/>
      <c r="N212" s="830"/>
      <c r="O212" s="131"/>
      <c r="P212" s="118"/>
    </row>
    <row r="213" spans="1:16" s="132" customFormat="1" ht="20.100000000000001" customHeight="1" x14ac:dyDescent="0.25">
      <c r="A213" s="1158">
        <v>12</v>
      </c>
      <c r="B213" s="1158"/>
      <c r="C213" s="1154" t="s">
        <v>247</v>
      </c>
      <c r="D213" s="1154"/>
      <c r="E213" s="1154"/>
      <c r="F213" s="413" t="s">
        <v>565</v>
      </c>
      <c r="G213" s="387"/>
      <c r="H213" s="413"/>
      <c r="I213" s="137"/>
      <c r="J213" s="320">
        <f>SUMIF($D$234:$D$2295,1801,(J$234:J$2298))</f>
        <v>182961000</v>
      </c>
      <c r="K213" s="320">
        <f>SUMIF($D$455:$D$2260,1801,(K$455:K$2265))</f>
        <v>0</v>
      </c>
      <c r="L213" s="320">
        <f t="shared" si="15"/>
        <v>182961000</v>
      </c>
      <c r="M213" s="1011"/>
      <c r="N213" s="830"/>
      <c r="O213" s="131"/>
      <c r="P213" s="118"/>
    </row>
    <row r="214" spans="1:16" s="132" customFormat="1" ht="20.100000000000001" customHeight="1" x14ac:dyDescent="0.25">
      <c r="A214" s="1158">
        <v>13</v>
      </c>
      <c r="B214" s="1158"/>
      <c r="C214" s="1154" t="s">
        <v>384</v>
      </c>
      <c r="D214" s="1154"/>
      <c r="E214" s="1154"/>
      <c r="F214" s="413" t="s">
        <v>566</v>
      </c>
      <c r="G214" s="387"/>
      <c r="H214" s="413"/>
      <c r="I214" s="137"/>
      <c r="J214" s="320">
        <f>SUMIF($D$234:$D$2295,1201,(J$234:J$2298))</f>
        <v>159259602</v>
      </c>
      <c r="K214" s="320">
        <f>SUMIF($D$455:$D$2260,1201,(K$455:K$2265))</f>
        <v>15916050</v>
      </c>
      <c r="L214" s="320">
        <f t="shared" si="15"/>
        <v>175175652</v>
      </c>
      <c r="M214" s="1011"/>
      <c r="N214" s="830"/>
      <c r="O214" s="131"/>
      <c r="P214" s="118"/>
    </row>
    <row r="215" spans="1:16" s="132" customFormat="1" ht="20.100000000000001" customHeight="1" x14ac:dyDescent="0.25">
      <c r="A215" s="1158">
        <v>14</v>
      </c>
      <c r="B215" s="1158"/>
      <c r="C215" s="1154" t="s">
        <v>240</v>
      </c>
      <c r="D215" s="1154"/>
      <c r="E215" s="1154"/>
      <c r="F215" s="413" t="s">
        <v>385</v>
      </c>
      <c r="G215" s="387"/>
      <c r="H215" s="413"/>
      <c r="I215" s="137"/>
      <c r="J215" s="320">
        <f>SUMIF($D$234:$D$2295,1301,(J$234:J$2298))</f>
        <v>575323311.59000003</v>
      </c>
      <c r="K215" s="320">
        <f>SUMIF($D$455:$D$2260,1301,(K$455:K$2265))</f>
        <v>0</v>
      </c>
      <c r="L215" s="320">
        <f t="shared" si="15"/>
        <v>575323311.59000003</v>
      </c>
      <c r="M215" s="1011"/>
      <c r="N215" s="830"/>
      <c r="O215" s="131"/>
      <c r="P215" s="118"/>
    </row>
    <row r="216" spans="1:16" s="132" customFormat="1" ht="20.100000000000001" customHeight="1" x14ac:dyDescent="0.25">
      <c r="A216" s="1158">
        <v>15</v>
      </c>
      <c r="B216" s="1158"/>
      <c r="C216" s="1154" t="s">
        <v>239</v>
      </c>
      <c r="D216" s="1154"/>
      <c r="E216" s="1154"/>
      <c r="F216" s="413" t="s">
        <v>567</v>
      </c>
      <c r="G216" s="387"/>
      <c r="H216" s="413"/>
      <c r="I216" s="137"/>
      <c r="J216" s="320">
        <f>SUMIF($D$234:$D$2295,602,(J$234:J$2298))</f>
        <v>729542490.4000001</v>
      </c>
      <c r="K216" s="320">
        <f>SUMIF($D$455:$D$2260,602,(K$455:K$2265))</f>
        <v>0</v>
      </c>
      <c r="L216" s="320">
        <f t="shared" si="15"/>
        <v>729542490.4000001</v>
      </c>
      <c r="M216" s="1011"/>
      <c r="N216" s="830"/>
      <c r="O216" s="131"/>
      <c r="P216" s="118"/>
    </row>
    <row r="217" spans="1:16" s="132" customFormat="1" ht="20.100000000000001" customHeight="1" x14ac:dyDescent="0.25">
      <c r="A217" s="1158">
        <v>16</v>
      </c>
      <c r="B217" s="1158"/>
      <c r="C217" s="1154" t="s">
        <v>429</v>
      </c>
      <c r="D217" s="1154"/>
      <c r="E217" s="1154"/>
      <c r="F217" s="1194" t="s">
        <v>568</v>
      </c>
      <c r="G217" s="1194"/>
      <c r="H217" s="1194"/>
      <c r="I217" s="1195"/>
      <c r="J217" s="320">
        <f>SUMIF($D$234:$D$2295,2101,(J$234:J$2298))</f>
        <v>93953700</v>
      </c>
      <c r="K217" s="320">
        <f>SUMIF($D$455:$D$2260,2101,(K$455:K$2265))</f>
        <v>0</v>
      </c>
      <c r="L217" s="320">
        <f t="shared" si="15"/>
        <v>93953700</v>
      </c>
      <c r="M217" s="1011"/>
      <c r="N217" s="830"/>
      <c r="O217" s="131"/>
      <c r="P217" s="118"/>
    </row>
    <row r="218" spans="1:16" s="132" customFormat="1" ht="20.100000000000001" customHeight="1" x14ac:dyDescent="0.25">
      <c r="A218" s="1158">
        <v>17</v>
      </c>
      <c r="B218" s="1158"/>
      <c r="C218" s="1154" t="s">
        <v>557</v>
      </c>
      <c r="D218" s="1154"/>
      <c r="E218" s="1154"/>
      <c r="F218" s="414" t="s">
        <v>569</v>
      </c>
      <c r="G218" s="183"/>
      <c r="H218" s="414"/>
      <c r="I218" s="138"/>
      <c r="J218" s="320">
        <f>SUMIF($D$234:$D$2295,501,(J$234:J$2298))</f>
        <v>107867107</v>
      </c>
      <c r="K218" s="320">
        <f>SUMIF($D$455:$D$2260,501,(K$455:K$2265))</f>
        <v>0</v>
      </c>
      <c r="L218" s="320">
        <f t="shared" si="15"/>
        <v>107867107</v>
      </c>
      <c r="M218" s="1011"/>
      <c r="N218" s="830"/>
      <c r="O218" s="131"/>
      <c r="P218" s="118"/>
    </row>
    <row r="219" spans="1:16" s="132" customFormat="1" ht="20.100000000000001" customHeight="1" x14ac:dyDescent="0.25">
      <c r="A219" s="1155"/>
      <c r="B219" s="1155"/>
      <c r="C219" s="1155"/>
      <c r="D219" s="1155"/>
      <c r="E219" s="1155"/>
      <c r="F219" s="1156" t="s">
        <v>410</v>
      </c>
      <c r="G219" s="1156"/>
      <c r="H219" s="1156"/>
      <c r="I219" s="1157"/>
      <c r="J219" s="321">
        <f>SUM(J202:J218)</f>
        <v>5724168950</v>
      </c>
      <c r="K219" s="322">
        <f t="shared" ref="K219" si="16">SUM(K202:K218)</f>
        <v>26698050</v>
      </c>
      <c r="L219" s="322">
        <f>SUM(L202:L218)</f>
        <v>5750867000</v>
      </c>
      <c r="M219" s="322"/>
      <c r="N219" s="830"/>
      <c r="O219" s="131"/>
      <c r="P219" s="118"/>
    </row>
    <row r="220" spans="1:16" s="132" customFormat="1" ht="20.100000000000001" customHeight="1" x14ac:dyDescent="0.25">
      <c r="A220" s="538"/>
      <c r="B220" s="538"/>
      <c r="C220" s="539"/>
      <c r="D220" s="538"/>
      <c r="E220" s="540"/>
      <c r="F220" s="740"/>
      <c r="G220" s="541"/>
      <c r="H220" s="129"/>
      <c r="I220" s="236"/>
      <c r="J220" s="479"/>
      <c r="K220" s="223"/>
      <c r="L220" s="223"/>
      <c r="M220" s="1006"/>
      <c r="N220" s="830"/>
      <c r="O220" s="131"/>
      <c r="P220" s="118"/>
    </row>
    <row r="221" spans="1:16" s="77" customFormat="1" ht="30" customHeight="1" x14ac:dyDescent="0.2">
      <c r="A221" s="393"/>
      <c r="B221" s="393"/>
      <c r="C221" s="128"/>
      <c r="D221" s="542"/>
      <c r="E221" s="146"/>
      <c r="F221" s="740"/>
      <c r="G221" s="393"/>
      <c r="H221" s="543"/>
      <c r="I221" s="544"/>
      <c r="J221" s="461"/>
      <c r="K221" s="461"/>
      <c r="L221" s="461"/>
      <c r="M221" s="1012"/>
      <c r="N221" s="831"/>
      <c r="O221" s="133"/>
      <c r="P221" s="121"/>
    </row>
    <row r="222" spans="1:16" s="144" customFormat="1" ht="20.100000000000001" customHeight="1" x14ac:dyDescent="0.2">
      <c r="A222" s="1146" t="s">
        <v>213</v>
      </c>
      <c r="B222" s="1146"/>
      <c r="C222" s="1146"/>
      <c r="D222" s="1146"/>
      <c r="E222" s="1146"/>
      <c r="F222" s="1146"/>
      <c r="G222" s="1146"/>
      <c r="H222" s="1146"/>
      <c r="I222" s="1146"/>
      <c r="J222" s="1146"/>
      <c r="K222" s="1146"/>
      <c r="L222" s="1146"/>
      <c r="M222" s="992"/>
      <c r="N222" s="823"/>
      <c r="O222" s="16"/>
      <c r="P222" s="140"/>
    </row>
    <row r="223" spans="1:16" s="144" customFormat="1" ht="20.100000000000001" customHeight="1" x14ac:dyDescent="0.2">
      <c r="A223" s="145"/>
      <c r="B223" s="145"/>
      <c r="C223" s="398"/>
      <c r="D223" s="145"/>
      <c r="E223" s="146"/>
      <c r="F223" s="104"/>
      <c r="G223" s="145"/>
      <c r="H223" s="104"/>
      <c r="I223" s="147"/>
      <c r="J223" s="19"/>
      <c r="K223" s="19"/>
      <c r="L223" s="333"/>
      <c r="M223" s="992"/>
      <c r="N223" s="823"/>
      <c r="O223" s="16"/>
      <c r="P223" s="140"/>
    </row>
    <row r="224" spans="1:16" s="144" customFormat="1" ht="28.5" customHeight="1" x14ac:dyDescent="0.2">
      <c r="A224" s="1147" t="s">
        <v>183</v>
      </c>
      <c r="B224" s="1147"/>
      <c r="C224" s="1147"/>
      <c r="D224" s="1147"/>
      <c r="E224" s="1147"/>
      <c r="F224" s="1147"/>
      <c r="G224" s="1147"/>
      <c r="H224" s="1147"/>
      <c r="I224" s="1147"/>
      <c r="J224" s="1147"/>
      <c r="K224" s="1147"/>
      <c r="L224" s="1147"/>
      <c r="M224" s="994"/>
      <c r="N224" s="823"/>
      <c r="O224" s="16"/>
      <c r="P224" s="140"/>
    </row>
    <row r="225" spans="1:16" s="144" customFormat="1" ht="12.75" x14ac:dyDescent="0.2">
      <c r="A225" s="148"/>
      <c r="B225" s="148"/>
      <c r="C225" s="399"/>
      <c r="D225" s="148"/>
      <c r="E225" s="148"/>
      <c r="F225" s="415"/>
      <c r="G225" s="148"/>
      <c r="H225" s="415"/>
      <c r="I225" s="150"/>
      <c r="J225" s="149"/>
      <c r="K225" s="149"/>
      <c r="L225" s="491"/>
      <c r="M225" s="994"/>
      <c r="N225" s="823"/>
      <c r="O225" s="16"/>
      <c r="P225" s="140"/>
    </row>
    <row r="226" spans="1:16" s="144" customFormat="1" x14ac:dyDescent="0.2">
      <c r="A226" s="148"/>
      <c r="B226" s="148"/>
      <c r="C226" s="400"/>
      <c r="D226" s="151" t="s">
        <v>1080</v>
      </c>
      <c r="E226" s="152"/>
      <c r="F226" s="416"/>
      <c r="G226" s="152"/>
      <c r="H226" s="416"/>
      <c r="I226" s="153"/>
      <c r="J226" s="154"/>
      <c r="K226" s="154"/>
      <c r="L226" s="491"/>
      <c r="M226" s="994"/>
      <c r="N226" s="823"/>
      <c r="O226" s="16"/>
      <c r="P226" s="140"/>
    </row>
    <row r="227" spans="1:16" x14ac:dyDescent="0.2">
      <c r="A227" s="151" t="s">
        <v>1013</v>
      </c>
      <c r="B227" s="148"/>
      <c r="C227" s="400"/>
      <c r="D227" s="155"/>
      <c r="E227" s="152"/>
      <c r="F227" s="416"/>
      <c r="G227" s="152"/>
      <c r="H227" s="416"/>
      <c r="I227" s="153"/>
      <c r="J227" s="154"/>
      <c r="K227" s="154"/>
      <c r="L227" s="491"/>
      <c r="M227" s="994"/>
    </row>
    <row r="228" spans="1:16" x14ac:dyDescent="0.2">
      <c r="A228" s="394"/>
      <c r="B228" s="394"/>
      <c r="C228" s="394"/>
      <c r="D228" s="529"/>
      <c r="E228" s="23"/>
      <c r="F228" s="394"/>
      <c r="G228" s="22"/>
      <c r="H228" s="394"/>
      <c r="I228" s="545"/>
      <c r="J228" s="504"/>
      <c r="K228" s="504"/>
      <c r="L228" s="504"/>
      <c r="N228" s="140"/>
      <c r="O228" s="140"/>
    </row>
    <row r="229" spans="1:16" ht="107.25" x14ac:dyDescent="0.2">
      <c r="A229" s="460" t="s">
        <v>27</v>
      </c>
      <c r="B229" s="460" t="s">
        <v>28</v>
      </c>
      <c r="C229" s="514" t="s">
        <v>29</v>
      </c>
      <c r="D229" s="515" t="s">
        <v>286</v>
      </c>
      <c r="E229" s="768" t="s">
        <v>287</v>
      </c>
      <c r="F229" s="743" t="s">
        <v>30</v>
      </c>
      <c r="G229" s="489" t="s">
        <v>695</v>
      </c>
      <c r="H229" s="490" t="s">
        <v>0</v>
      </c>
      <c r="I229" s="507" t="s">
        <v>1</v>
      </c>
      <c r="J229" s="508" t="s">
        <v>660</v>
      </c>
      <c r="K229" s="509" t="s">
        <v>281</v>
      </c>
      <c r="L229" s="510" t="s">
        <v>157</v>
      </c>
      <c r="N229" s="140"/>
      <c r="O229" s="140"/>
    </row>
    <row r="230" spans="1:16" x14ac:dyDescent="0.2">
      <c r="A230" s="511">
        <v>1</v>
      </c>
      <c r="B230" s="511">
        <v>2</v>
      </c>
      <c r="C230" s="512">
        <v>3</v>
      </c>
      <c r="D230" s="511" t="s">
        <v>282</v>
      </c>
      <c r="E230" s="516" t="s">
        <v>283</v>
      </c>
      <c r="F230" s="105" t="s">
        <v>31</v>
      </c>
      <c r="G230" s="184" t="s">
        <v>284</v>
      </c>
      <c r="H230" s="105" t="s">
        <v>285</v>
      </c>
      <c r="I230" s="185" t="s">
        <v>696</v>
      </c>
      <c r="J230" s="323">
        <v>10</v>
      </c>
      <c r="K230" s="323">
        <v>11</v>
      </c>
      <c r="L230" s="323">
        <v>12</v>
      </c>
      <c r="N230" s="140"/>
      <c r="O230" s="140"/>
    </row>
    <row r="231" spans="1:16" x14ac:dyDescent="0.2">
      <c r="A231" s="186"/>
      <c r="B231" s="186"/>
      <c r="C231" s="513"/>
      <c r="D231" s="186"/>
      <c r="E231" s="185"/>
      <c r="F231" s="417"/>
      <c r="G231" s="187"/>
      <c r="H231" s="417"/>
      <c r="I231" s="187"/>
      <c r="J231" s="324"/>
      <c r="K231" s="324"/>
      <c r="L231" s="325"/>
      <c r="N231" s="140"/>
      <c r="O231" s="140"/>
    </row>
    <row r="232" spans="1:16" x14ac:dyDescent="0.2">
      <c r="A232" s="511"/>
      <c r="B232" s="511"/>
      <c r="C232" s="512"/>
      <c r="D232" s="511"/>
      <c r="E232" s="517"/>
      <c r="F232" s="418"/>
      <c r="G232" s="157"/>
      <c r="H232" s="418"/>
      <c r="I232" s="157"/>
      <c r="J232" s="326"/>
      <c r="K232" s="326"/>
      <c r="L232" s="327"/>
      <c r="N232" s="140"/>
      <c r="O232" s="140"/>
    </row>
    <row r="233" spans="1:16" x14ac:dyDescent="0.2">
      <c r="A233" s="546" t="s">
        <v>278</v>
      </c>
      <c r="B233" s="547"/>
      <c r="C233" s="546"/>
      <c r="D233" s="547"/>
      <c r="E233" s="548"/>
      <c r="F233" s="105"/>
      <c r="G233" s="146"/>
      <c r="H233" s="478"/>
      <c r="I233" s="549" t="s">
        <v>32</v>
      </c>
      <c r="J233" s="19"/>
      <c r="K233" s="19"/>
      <c r="L233" s="550"/>
      <c r="N233" s="140"/>
      <c r="O233" s="140"/>
    </row>
    <row r="234" spans="1:16" x14ac:dyDescent="0.2">
      <c r="A234" s="551"/>
      <c r="B234" s="551"/>
      <c r="C234" s="552"/>
      <c r="D234" s="553" t="s">
        <v>429</v>
      </c>
      <c r="E234" s="554"/>
      <c r="F234" s="555"/>
      <c r="G234" s="556"/>
      <c r="H234" s="557"/>
      <c r="I234" s="558" t="s">
        <v>428</v>
      </c>
      <c r="J234" s="559">
        <f>SUM(J253+J266)</f>
        <v>28860800</v>
      </c>
      <c r="K234" s="559"/>
      <c r="L234" s="559">
        <f t="shared" ref="L234" si="17">SUM(L253+L266)</f>
        <v>28860800</v>
      </c>
      <c r="N234" s="140"/>
      <c r="O234" s="140"/>
    </row>
    <row r="235" spans="1:16" x14ac:dyDescent="0.2">
      <c r="A235" s="560"/>
      <c r="B235" s="560"/>
      <c r="C235" s="561"/>
      <c r="D235" s="562"/>
      <c r="E235" s="563"/>
      <c r="F235" s="564"/>
      <c r="G235" s="565"/>
      <c r="H235" s="566"/>
      <c r="I235" s="239"/>
      <c r="J235" s="567"/>
      <c r="K235" s="567"/>
      <c r="L235" s="568"/>
      <c r="N235" s="140"/>
      <c r="O235" s="140"/>
    </row>
    <row r="236" spans="1:16" x14ac:dyDescent="0.2">
      <c r="A236" s="467"/>
      <c r="B236" s="467"/>
      <c r="C236" s="470"/>
      <c r="D236" s="476"/>
      <c r="E236" s="519"/>
      <c r="F236" s="569"/>
      <c r="G236" s="570"/>
      <c r="H236" s="571"/>
      <c r="I236" s="383" t="s">
        <v>272</v>
      </c>
      <c r="J236" s="572"/>
      <c r="K236" s="572"/>
      <c r="L236" s="573"/>
      <c r="N236" s="140"/>
      <c r="O236" s="140"/>
    </row>
    <row r="237" spans="1:16" x14ac:dyDescent="0.2">
      <c r="A237" s="467"/>
      <c r="B237" s="467"/>
      <c r="C237" s="470"/>
      <c r="D237" s="43"/>
      <c r="E237" s="519" t="s">
        <v>425</v>
      </c>
      <c r="F237" s="569"/>
      <c r="G237" s="570"/>
      <c r="H237" s="574"/>
      <c r="I237" s="384" t="s">
        <v>426</v>
      </c>
      <c r="J237" s="575"/>
      <c r="K237" s="575"/>
      <c r="L237" s="576"/>
      <c r="N237" s="140"/>
      <c r="O237" s="140"/>
    </row>
    <row r="238" spans="1:16" x14ac:dyDescent="0.2">
      <c r="A238" s="467"/>
      <c r="B238" s="467"/>
      <c r="C238" s="470"/>
      <c r="D238" s="401"/>
      <c r="E238" s="521"/>
      <c r="F238" s="104"/>
      <c r="G238" s="19"/>
      <c r="H238" s="577"/>
      <c r="I238" s="17"/>
      <c r="J238" s="19"/>
      <c r="K238" s="19"/>
      <c r="L238" s="550"/>
      <c r="N238" s="140"/>
      <c r="O238" s="140"/>
    </row>
    <row r="239" spans="1:16" ht="22.5" x14ac:dyDescent="0.2">
      <c r="A239" s="43"/>
      <c r="B239" s="43"/>
      <c r="C239" s="43">
        <v>110</v>
      </c>
      <c r="D239" s="466"/>
      <c r="E239" s="518"/>
      <c r="F239" s="21"/>
      <c r="G239" s="1"/>
      <c r="H239" s="21"/>
      <c r="I239" s="578" t="s">
        <v>289</v>
      </c>
      <c r="J239" s="67"/>
      <c r="K239" s="67"/>
      <c r="L239" s="335"/>
      <c r="N239" s="140"/>
      <c r="O239" s="140"/>
    </row>
    <row r="240" spans="1:16" x14ac:dyDescent="0.2">
      <c r="A240" s="43"/>
      <c r="B240" s="43"/>
      <c r="D240" s="466"/>
      <c r="E240" s="518"/>
      <c r="F240" s="394"/>
      <c r="G240" s="22"/>
      <c r="H240" s="394"/>
      <c r="I240" s="579"/>
      <c r="J240" s="580"/>
      <c r="K240" s="580"/>
      <c r="L240" s="581"/>
      <c r="N240" s="140"/>
      <c r="O240" s="140"/>
    </row>
    <row r="241" spans="1:15" x14ac:dyDescent="0.2">
      <c r="A241" s="476"/>
      <c r="B241" s="43"/>
      <c r="D241" s="476"/>
      <c r="E241" s="518"/>
      <c r="F241" s="284">
        <v>1</v>
      </c>
      <c r="G241" s="41"/>
      <c r="H241" s="284">
        <v>411</v>
      </c>
      <c r="I241" s="194" t="s">
        <v>2</v>
      </c>
      <c r="J241" s="51">
        <v>2672500</v>
      </c>
      <c r="K241" s="51"/>
      <c r="L241" s="51">
        <f t="shared" ref="L241:L252" si="18">SUM(J241+K241)</f>
        <v>2672500</v>
      </c>
      <c r="N241" s="140"/>
      <c r="O241" s="140"/>
    </row>
    <row r="242" spans="1:15" x14ac:dyDescent="0.2">
      <c r="A242" s="476"/>
      <c r="B242" s="43"/>
      <c r="D242" s="476"/>
      <c r="E242" s="518"/>
      <c r="F242" s="284">
        <v>2</v>
      </c>
      <c r="G242" s="41"/>
      <c r="H242" s="284">
        <v>412</v>
      </c>
      <c r="I242" s="243" t="s">
        <v>3</v>
      </c>
      <c r="J242" s="51">
        <v>459000</v>
      </c>
      <c r="K242" s="51"/>
      <c r="L242" s="51">
        <f t="shared" si="18"/>
        <v>459000</v>
      </c>
      <c r="N242" s="140"/>
      <c r="O242" s="140"/>
    </row>
    <row r="243" spans="1:15" x14ac:dyDescent="0.2">
      <c r="A243" s="476"/>
      <c r="B243" s="43"/>
      <c r="D243" s="476"/>
      <c r="E243" s="518"/>
      <c r="F243" s="284">
        <v>3</v>
      </c>
      <c r="G243" s="41"/>
      <c r="H243" s="284">
        <v>413</v>
      </c>
      <c r="I243" s="243" t="s">
        <v>33</v>
      </c>
      <c r="J243" s="51">
        <v>50000</v>
      </c>
      <c r="K243" s="51"/>
      <c r="L243" s="51">
        <f t="shared" si="18"/>
        <v>50000</v>
      </c>
      <c r="N243" s="140"/>
      <c r="O243" s="140"/>
    </row>
    <row r="244" spans="1:15" x14ac:dyDescent="0.2">
      <c r="A244" s="476"/>
      <c r="B244" s="43"/>
      <c r="D244" s="476"/>
      <c r="E244" s="518"/>
      <c r="F244" s="284">
        <v>4</v>
      </c>
      <c r="G244" s="41"/>
      <c r="H244" s="284">
        <v>414</v>
      </c>
      <c r="I244" s="194" t="s">
        <v>34</v>
      </c>
      <c r="J244" s="51">
        <v>200000</v>
      </c>
      <c r="K244" s="51"/>
      <c r="L244" s="51">
        <f t="shared" si="18"/>
        <v>200000</v>
      </c>
      <c r="N244" s="140"/>
      <c r="O244" s="140"/>
    </row>
    <row r="245" spans="1:15" x14ac:dyDescent="0.2">
      <c r="A245" s="476"/>
      <c r="B245" s="43"/>
      <c r="D245" s="476"/>
      <c r="E245" s="518"/>
      <c r="F245" s="284">
        <v>5</v>
      </c>
      <c r="G245" s="41"/>
      <c r="H245" s="284">
        <v>415</v>
      </c>
      <c r="I245" s="243" t="s">
        <v>5</v>
      </c>
      <c r="J245" s="51">
        <v>100000</v>
      </c>
      <c r="K245" s="51"/>
      <c r="L245" s="51">
        <f t="shared" si="18"/>
        <v>100000</v>
      </c>
      <c r="N245" s="140"/>
      <c r="O245" s="140"/>
    </row>
    <row r="246" spans="1:15" x14ac:dyDescent="0.2">
      <c r="A246" s="476"/>
      <c r="B246" s="43"/>
      <c r="D246" s="476"/>
      <c r="E246" s="518"/>
      <c r="F246" s="284">
        <v>6</v>
      </c>
      <c r="G246" s="41"/>
      <c r="H246" s="284">
        <v>416</v>
      </c>
      <c r="I246" s="243" t="s">
        <v>6</v>
      </c>
      <c r="J246" s="51">
        <v>1910000</v>
      </c>
      <c r="K246" s="51"/>
      <c r="L246" s="51">
        <f t="shared" si="18"/>
        <v>1910000</v>
      </c>
      <c r="N246" s="140"/>
      <c r="O246" s="140"/>
    </row>
    <row r="247" spans="1:15" x14ac:dyDescent="0.2">
      <c r="A247" s="476"/>
      <c r="B247" s="43"/>
      <c r="D247" s="476"/>
      <c r="E247" s="518"/>
      <c r="F247" s="284">
        <v>7</v>
      </c>
      <c r="G247" s="41"/>
      <c r="H247" s="284">
        <v>422</v>
      </c>
      <c r="I247" s="243" t="s">
        <v>8</v>
      </c>
      <c r="J247" s="51">
        <v>200000</v>
      </c>
      <c r="K247" s="51"/>
      <c r="L247" s="51">
        <f t="shared" si="18"/>
        <v>200000</v>
      </c>
      <c r="N247" s="140"/>
      <c r="O247" s="140"/>
    </row>
    <row r="248" spans="1:15" x14ac:dyDescent="0.2">
      <c r="A248" s="476"/>
      <c r="B248" s="43"/>
      <c r="D248" s="476"/>
      <c r="E248" s="518"/>
      <c r="F248" s="284">
        <v>8</v>
      </c>
      <c r="G248" s="41"/>
      <c r="H248" s="284">
        <v>423</v>
      </c>
      <c r="I248" s="194" t="s">
        <v>9</v>
      </c>
      <c r="J248" s="56">
        <v>20000000</v>
      </c>
      <c r="K248" s="51"/>
      <c r="L248" s="51">
        <f t="shared" si="18"/>
        <v>20000000</v>
      </c>
      <c r="N248" s="140"/>
      <c r="O248" s="140"/>
    </row>
    <row r="249" spans="1:15" x14ac:dyDescent="0.2">
      <c r="A249" s="476"/>
      <c r="B249" s="43"/>
      <c r="D249" s="476"/>
      <c r="E249" s="518"/>
      <c r="F249" s="284">
        <v>9</v>
      </c>
      <c r="G249" s="41"/>
      <c r="H249" s="284">
        <v>424</v>
      </c>
      <c r="I249" s="194" t="s">
        <v>10</v>
      </c>
      <c r="J249" s="51">
        <v>300000</v>
      </c>
      <c r="K249" s="51"/>
      <c r="L249" s="51">
        <f t="shared" si="18"/>
        <v>300000</v>
      </c>
      <c r="N249" s="140"/>
      <c r="O249" s="140"/>
    </row>
    <row r="250" spans="1:15" x14ac:dyDescent="0.2">
      <c r="A250" s="476"/>
      <c r="B250" s="43"/>
      <c r="D250" s="476"/>
      <c r="E250" s="518"/>
      <c r="F250" s="284">
        <v>10</v>
      </c>
      <c r="G250" s="41"/>
      <c r="H250" s="284">
        <v>426</v>
      </c>
      <c r="I250" s="194" t="s">
        <v>35</v>
      </c>
      <c r="J250" s="51">
        <v>150000</v>
      </c>
      <c r="K250" s="51"/>
      <c r="L250" s="51">
        <f t="shared" si="18"/>
        <v>150000</v>
      </c>
      <c r="N250" s="140"/>
      <c r="O250" s="140"/>
    </row>
    <row r="251" spans="1:15" x14ac:dyDescent="0.2">
      <c r="A251" s="476"/>
      <c r="B251" s="43"/>
      <c r="D251" s="476"/>
      <c r="E251" s="518"/>
      <c r="F251" s="284">
        <v>11</v>
      </c>
      <c r="G251" s="41"/>
      <c r="H251" s="284">
        <v>465</v>
      </c>
      <c r="I251" s="194" t="s">
        <v>167</v>
      </c>
      <c r="J251" s="51">
        <v>315300</v>
      </c>
      <c r="K251" s="51"/>
      <c r="L251" s="51">
        <f t="shared" si="18"/>
        <v>315300</v>
      </c>
      <c r="N251" s="140"/>
      <c r="O251" s="140"/>
    </row>
    <row r="252" spans="1:15" x14ac:dyDescent="0.2">
      <c r="A252" s="476"/>
      <c r="B252" s="43"/>
      <c r="D252" s="476"/>
      <c r="E252" s="518"/>
      <c r="F252" s="284">
        <v>12</v>
      </c>
      <c r="G252" s="41"/>
      <c r="H252" s="284">
        <v>481</v>
      </c>
      <c r="I252" s="194" t="s">
        <v>36</v>
      </c>
      <c r="J252" s="51">
        <v>2500000</v>
      </c>
      <c r="K252" s="51"/>
      <c r="L252" s="51">
        <f t="shared" si="18"/>
        <v>2500000</v>
      </c>
      <c r="N252" s="140"/>
      <c r="O252" s="140"/>
    </row>
    <row r="253" spans="1:15" x14ac:dyDescent="0.2">
      <c r="A253" s="476"/>
      <c r="B253" s="43"/>
      <c r="D253" s="476"/>
      <c r="E253" s="518"/>
      <c r="F253" s="284"/>
      <c r="G253" s="41"/>
      <c r="H253" s="284"/>
      <c r="I253" s="102" t="s">
        <v>617</v>
      </c>
      <c r="J253" s="299">
        <f>SUM(J241:J252)</f>
        <v>28856800</v>
      </c>
      <c r="K253" s="299"/>
      <c r="L253" s="49">
        <f>SUM(L241:L252)</f>
        <v>28856800</v>
      </c>
      <c r="N253" s="140"/>
      <c r="O253" s="140"/>
    </row>
    <row r="254" spans="1:15" ht="15" x14ac:dyDescent="0.25">
      <c r="A254" s="476"/>
      <c r="B254" s="43"/>
      <c r="D254" s="476"/>
      <c r="E254" s="518"/>
      <c r="F254" s="284"/>
      <c r="G254" s="47" t="s">
        <v>37</v>
      </c>
      <c r="H254" s="288"/>
      <c r="I254" s="57" t="s">
        <v>38</v>
      </c>
      <c r="J254" s="52">
        <f>SUM(J253)</f>
        <v>28856800</v>
      </c>
      <c r="K254" s="52"/>
      <c r="L254" s="52">
        <f>SUM(J254+K254)</f>
        <v>28856800</v>
      </c>
      <c r="N254" s="140"/>
      <c r="O254" s="140"/>
    </row>
    <row r="255" spans="1:15" x14ac:dyDescent="0.2">
      <c r="A255" s="582"/>
      <c r="B255" s="583"/>
      <c r="C255" s="583"/>
      <c r="D255" s="582"/>
      <c r="E255" s="563"/>
      <c r="F255" s="407"/>
      <c r="G255" s="294"/>
      <c r="H255" s="584"/>
      <c r="I255" s="239"/>
      <c r="J255" s="71"/>
      <c r="K255" s="71"/>
      <c r="L255" s="233"/>
      <c r="N255" s="140"/>
      <c r="O255" s="140"/>
    </row>
    <row r="256" spans="1:15" x14ac:dyDescent="0.2">
      <c r="A256" s="476"/>
      <c r="B256" s="43"/>
      <c r="D256" s="476"/>
      <c r="E256" s="519"/>
      <c r="F256" s="404"/>
      <c r="G256" s="302"/>
      <c r="H256" s="419"/>
      <c r="I256" s="363" t="s">
        <v>272</v>
      </c>
      <c r="J256" s="455"/>
      <c r="K256" s="455"/>
      <c r="L256" s="304"/>
      <c r="N256" s="140"/>
      <c r="O256" s="140"/>
    </row>
    <row r="257" spans="1:15" x14ac:dyDescent="0.2">
      <c r="A257" s="476"/>
      <c r="B257" s="43"/>
      <c r="D257" s="476"/>
      <c r="E257" s="519" t="s">
        <v>425</v>
      </c>
      <c r="F257" s="404"/>
      <c r="G257" s="302"/>
      <c r="H257" s="422"/>
      <c r="I257" s="365" t="s">
        <v>426</v>
      </c>
      <c r="J257" s="366"/>
      <c r="K257" s="366"/>
      <c r="L257" s="369"/>
      <c r="N257" s="140"/>
      <c r="O257" s="140"/>
    </row>
    <row r="258" spans="1:15" x14ac:dyDescent="0.2">
      <c r="A258" s="476"/>
      <c r="B258" s="43"/>
      <c r="D258" s="476"/>
      <c r="E258" s="518"/>
      <c r="F258" s="284"/>
      <c r="G258" s="41"/>
      <c r="H258" s="286"/>
      <c r="I258" s="239"/>
      <c r="J258" s="28"/>
      <c r="K258" s="28"/>
      <c r="L258" s="68"/>
      <c r="N258" s="140"/>
      <c r="O258" s="140"/>
    </row>
    <row r="259" spans="1:15" x14ac:dyDescent="0.2">
      <c r="A259" s="476"/>
      <c r="B259" s="43"/>
      <c r="D259" s="476"/>
      <c r="E259" s="518"/>
      <c r="F259" s="284"/>
      <c r="G259" s="41"/>
      <c r="H259" s="284"/>
      <c r="I259" s="253" t="s">
        <v>39</v>
      </c>
      <c r="J259" s="67"/>
      <c r="K259" s="67"/>
      <c r="L259" s="192"/>
      <c r="N259" s="140"/>
      <c r="O259" s="140"/>
    </row>
    <row r="260" spans="1:15" x14ac:dyDescent="0.2">
      <c r="A260" s="43"/>
      <c r="B260" s="43"/>
      <c r="C260" s="43">
        <v>160</v>
      </c>
      <c r="D260" s="43"/>
      <c r="E260" s="518"/>
      <c r="F260" s="284"/>
      <c r="G260" s="41"/>
      <c r="H260" s="284"/>
      <c r="I260" s="253" t="s">
        <v>288</v>
      </c>
      <c r="J260" s="67"/>
      <c r="K260" s="67"/>
      <c r="L260" s="192"/>
      <c r="N260" s="140"/>
      <c r="O260" s="140"/>
    </row>
    <row r="261" spans="1:15" x14ac:dyDescent="0.2">
      <c r="A261" s="43"/>
      <c r="B261" s="43"/>
      <c r="D261" s="43"/>
      <c r="E261" s="518"/>
      <c r="F261" s="284"/>
      <c r="G261" s="41"/>
      <c r="H261" s="284"/>
      <c r="I261" s="585"/>
      <c r="J261" s="28"/>
      <c r="K261" s="28"/>
      <c r="L261" s="68"/>
      <c r="N261" s="140"/>
      <c r="O261" s="140"/>
    </row>
    <row r="262" spans="1:15" x14ac:dyDescent="0.2">
      <c r="A262" s="43"/>
      <c r="B262" s="43"/>
      <c r="D262" s="43"/>
      <c r="E262" s="518"/>
      <c r="F262" s="284">
        <v>13</v>
      </c>
      <c r="G262" s="41"/>
      <c r="H262" s="284">
        <v>416</v>
      </c>
      <c r="I262" s="243" t="s">
        <v>6</v>
      </c>
      <c r="J262" s="51">
        <v>1000</v>
      </c>
      <c r="K262" s="51"/>
      <c r="L262" s="51">
        <f>SUM(J262+K262)</f>
        <v>1000</v>
      </c>
      <c r="N262" s="140"/>
      <c r="O262" s="140"/>
    </row>
    <row r="263" spans="1:15" x14ac:dyDescent="0.2">
      <c r="A263" s="43"/>
      <c r="B263" s="43"/>
      <c r="D263" s="43"/>
      <c r="E263" s="518"/>
      <c r="F263" s="284">
        <v>14</v>
      </c>
      <c r="G263" s="41"/>
      <c r="H263" s="284">
        <v>421</v>
      </c>
      <c r="I263" s="243" t="s">
        <v>7</v>
      </c>
      <c r="J263" s="51">
        <v>1000</v>
      </c>
      <c r="K263" s="51"/>
      <c r="L263" s="51">
        <f>SUM(J263+K263)</f>
        <v>1000</v>
      </c>
      <c r="N263" s="140"/>
      <c r="O263" s="140"/>
    </row>
    <row r="264" spans="1:15" x14ac:dyDescent="0.2">
      <c r="A264" s="476"/>
      <c r="B264" s="43"/>
      <c r="D264" s="476"/>
      <c r="E264" s="518"/>
      <c r="F264" s="284">
        <v>15</v>
      </c>
      <c r="G264" s="41"/>
      <c r="H264" s="284">
        <v>423</v>
      </c>
      <c r="I264" s="194" t="s">
        <v>9</v>
      </c>
      <c r="J264" s="51">
        <v>1000</v>
      </c>
      <c r="K264" s="51"/>
      <c r="L264" s="51">
        <f>SUM(J264+K264)</f>
        <v>1000</v>
      </c>
      <c r="N264" s="140"/>
      <c r="O264" s="140"/>
    </row>
    <row r="265" spans="1:15" x14ac:dyDescent="0.2">
      <c r="A265" s="476"/>
      <c r="B265" s="43"/>
      <c r="D265" s="476"/>
      <c r="E265" s="518"/>
      <c r="F265" s="284">
        <v>16</v>
      </c>
      <c r="G265" s="41"/>
      <c r="H265" s="284">
        <v>426</v>
      </c>
      <c r="I265" s="194" t="s">
        <v>35</v>
      </c>
      <c r="J265" s="51">
        <v>1000</v>
      </c>
      <c r="K265" s="51"/>
      <c r="L265" s="51">
        <f>SUM(J265+K265)</f>
        <v>1000</v>
      </c>
      <c r="N265" s="140"/>
      <c r="O265" s="140"/>
    </row>
    <row r="266" spans="1:15" x14ac:dyDescent="0.2">
      <c r="A266" s="476"/>
      <c r="B266" s="43"/>
      <c r="D266" s="476"/>
      <c r="E266" s="518"/>
      <c r="F266" s="284"/>
      <c r="G266" s="41"/>
      <c r="H266" s="284"/>
      <c r="I266" s="268" t="s">
        <v>617</v>
      </c>
      <c r="J266" s="71">
        <f>SUM(J262:J265)</f>
        <v>4000</v>
      </c>
      <c r="K266" s="71"/>
      <c r="L266" s="233">
        <f t="shared" ref="L266" si="19">SUM(L262:L265)</f>
        <v>4000</v>
      </c>
      <c r="N266" s="140"/>
      <c r="O266" s="140"/>
    </row>
    <row r="267" spans="1:15" ht="15" x14ac:dyDescent="0.25">
      <c r="A267" s="476"/>
      <c r="B267" s="43"/>
      <c r="D267" s="476"/>
      <c r="E267" s="518"/>
      <c r="F267" s="284"/>
      <c r="G267" s="47" t="s">
        <v>37</v>
      </c>
      <c r="H267" s="288"/>
      <c r="I267" s="586" t="s">
        <v>38</v>
      </c>
      <c r="J267" s="587">
        <f>SUM(J266)</f>
        <v>4000</v>
      </c>
      <c r="K267" s="318"/>
      <c r="L267" s="318">
        <f>SUM(J267+K267)</f>
        <v>4000</v>
      </c>
      <c r="N267" s="140"/>
      <c r="O267" s="140"/>
    </row>
    <row r="268" spans="1:15" ht="15" x14ac:dyDescent="0.25">
      <c r="A268" s="476"/>
      <c r="B268" s="43"/>
      <c r="D268" s="476"/>
      <c r="E268" s="518"/>
      <c r="F268" s="284"/>
      <c r="G268" s="47"/>
      <c r="H268" s="288"/>
      <c r="I268" s="24"/>
      <c r="J268" s="27"/>
      <c r="K268" s="27"/>
      <c r="L268" s="53"/>
      <c r="N268" s="140"/>
      <c r="O268" s="140"/>
    </row>
    <row r="269" spans="1:15" ht="15" x14ac:dyDescent="0.25">
      <c r="A269" s="476"/>
      <c r="B269" s="43"/>
      <c r="D269" s="476"/>
      <c r="E269" s="518"/>
      <c r="F269" s="284"/>
      <c r="G269" s="47"/>
      <c r="H269" s="288"/>
      <c r="I269" s="191"/>
      <c r="J269" s="28"/>
      <c r="K269" s="28"/>
      <c r="L269" s="68"/>
      <c r="N269" s="140"/>
      <c r="O269" s="140"/>
    </row>
    <row r="270" spans="1:15" x14ac:dyDescent="0.2">
      <c r="A270" s="588" t="s">
        <v>279</v>
      </c>
      <c r="B270" s="588"/>
      <c r="C270" s="588"/>
      <c r="D270" s="589"/>
      <c r="E270" s="590"/>
      <c r="F270" s="292"/>
      <c r="G270" s="591"/>
      <c r="H270" s="289"/>
      <c r="I270" s="592" t="s">
        <v>672</v>
      </c>
      <c r="J270" s="223"/>
      <c r="K270" s="223"/>
      <c r="L270" s="224"/>
      <c r="N270" s="140"/>
      <c r="O270" s="140"/>
    </row>
    <row r="271" spans="1:15" x14ac:dyDescent="0.2">
      <c r="A271" s="593"/>
      <c r="B271" s="594"/>
      <c r="C271" s="594"/>
      <c r="D271" s="595" t="s">
        <v>239</v>
      </c>
      <c r="E271" s="554"/>
      <c r="F271" s="736"/>
      <c r="G271" s="596"/>
      <c r="H271" s="597"/>
      <c r="I271" s="598" t="s">
        <v>430</v>
      </c>
      <c r="J271" s="599">
        <f>SUM(J289)</f>
        <v>4636500</v>
      </c>
      <c r="K271" s="599"/>
      <c r="L271" s="599">
        <f t="shared" ref="L271" si="20">SUM(L289)</f>
        <v>4636500</v>
      </c>
      <c r="N271" s="140"/>
      <c r="O271" s="140"/>
    </row>
    <row r="272" spans="1:15" x14ac:dyDescent="0.2">
      <c r="A272" s="600"/>
      <c r="B272" s="601"/>
      <c r="C272" s="601"/>
      <c r="D272" s="602"/>
      <c r="E272" s="563"/>
      <c r="F272" s="717"/>
      <c r="G272" s="603"/>
      <c r="H272" s="604"/>
      <c r="I272" s="605"/>
      <c r="J272" s="167"/>
      <c r="K272" s="167"/>
      <c r="L272" s="332"/>
      <c r="N272" s="140"/>
      <c r="O272" s="140"/>
    </row>
    <row r="273" spans="1:16" x14ac:dyDescent="0.2">
      <c r="A273" s="474"/>
      <c r="B273" s="160"/>
      <c r="C273" s="160"/>
      <c r="D273" s="474"/>
      <c r="E273" s="519"/>
      <c r="F273" s="454"/>
      <c r="G273" s="606"/>
      <c r="H273" s="607"/>
      <c r="I273" s="608" t="s">
        <v>412</v>
      </c>
      <c r="J273" s="609"/>
      <c r="K273" s="609"/>
      <c r="L273" s="610"/>
      <c r="N273" s="140"/>
      <c r="O273" s="140"/>
    </row>
    <row r="274" spans="1:16" x14ac:dyDescent="0.2">
      <c r="A274" s="474"/>
      <c r="B274" s="160"/>
      <c r="C274" s="160"/>
      <c r="D274" s="160"/>
      <c r="E274" s="519" t="s">
        <v>413</v>
      </c>
      <c r="F274" s="454"/>
      <c r="G274" s="606"/>
      <c r="H274" s="611"/>
      <c r="I274" s="612" t="s">
        <v>427</v>
      </c>
      <c r="J274" s="613"/>
      <c r="K274" s="613"/>
      <c r="L274" s="380"/>
      <c r="N274" s="140"/>
      <c r="O274" s="140"/>
    </row>
    <row r="275" spans="1:16" x14ac:dyDescent="0.2">
      <c r="A275" s="614"/>
      <c r="B275" s="614"/>
      <c r="C275" s="160"/>
      <c r="D275" s="614"/>
      <c r="E275" s="518"/>
      <c r="F275" s="292"/>
      <c r="G275" s="70"/>
      <c r="H275" s="425"/>
      <c r="I275" s="615"/>
      <c r="J275" s="479"/>
      <c r="K275" s="479"/>
      <c r="L275" s="616"/>
      <c r="N275" s="140"/>
      <c r="O275" s="140"/>
    </row>
    <row r="276" spans="1:16" ht="22.5" x14ac:dyDescent="0.2">
      <c r="A276" s="474"/>
      <c r="B276" s="160"/>
      <c r="C276" s="160">
        <v>110</v>
      </c>
      <c r="D276" s="474"/>
      <c r="E276" s="518"/>
      <c r="F276" s="292"/>
      <c r="G276" s="70"/>
      <c r="H276" s="289"/>
      <c r="I276" s="255" t="s">
        <v>289</v>
      </c>
      <c r="J276" s="329"/>
      <c r="K276" s="329"/>
      <c r="L276" s="330"/>
      <c r="N276" s="140"/>
      <c r="O276" s="140"/>
    </row>
    <row r="277" spans="1:16" x14ac:dyDescent="0.2">
      <c r="A277" s="474"/>
      <c r="B277" s="160"/>
      <c r="C277" s="160"/>
      <c r="D277" s="475"/>
      <c r="E277" s="518"/>
      <c r="F277" s="292"/>
      <c r="G277" s="70"/>
      <c r="H277" s="292"/>
      <c r="I277" s="161"/>
      <c r="J277" s="223"/>
      <c r="K277" s="223"/>
      <c r="L277" s="224"/>
      <c r="N277" s="140"/>
      <c r="O277" s="140"/>
    </row>
    <row r="278" spans="1:16" x14ac:dyDescent="0.2">
      <c r="A278" s="474"/>
      <c r="B278" s="160"/>
      <c r="C278" s="160"/>
      <c r="D278" s="474"/>
      <c r="E278" s="518"/>
      <c r="F278" s="292">
        <v>17</v>
      </c>
      <c r="G278" s="70"/>
      <c r="H278" s="292">
        <v>411</v>
      </c>
      <c r="I278" s="248" t="s">
        <v>2</v>
      </c>
      <c r="J278" s="46">
        <v>2936000</v>
      </c>
      <c r="K278" s="46"/>
      <c r="L278" s="46">
        <f t="shared" ref="L278:L288" si="21">SUM(J278+K278)</f>
        <v>2936000</v>
      </c>
      <c r="N278" s="16"/>
    </row>
    <row r="279" spans="1:16" x14ac:dyDescent="0.2">
      <c r="A279" s="474"/>
      <c r="B279" s="160"/>
      <c r="C279" s="160"/>
      <c r="D279" s="474"/>
      <c r="E279" s="518"/>
      <c r="F279" s="292">
        <v>18</v>
      </c>
      <c r="G279" s="70"/>
      <c r="H279" s="292">
        <v>412</v>
      </c>
      <c r="I279" s="247" t="s">
        <v>3</v>
      </c>
      <c r="J279" s="46">
        <v>504000</v>
      </c>
      <c r="K279" s="46"/>
      <c r="L279" s="46">
        <f t="shared" si="21"/>
        <v>504000</v>
      </c>
      <c r="N279" s="16"/>
    </row>
    <row r="280" spans="1:16" x14ac:dyDescent="0.2">
      <c r="A280" s="474"/>
      <c r="B280" s="160"/>
      <c r="C280" s="160"/>
      <c r="D280" s="474"/>
      <c r="E280" s="518"/>
      <c r="F280" s="292">
        <v>19</v>
      </c>
      <c r="G280" s="70"/>
      <c r="H280" s="292">
        <v>413</v>
      </c>
      <c r="I280" s="247" t="s">
        <v>33</v>
      </c>
      <c r="J280" s="46">
        <v>100000</v>
      </c>
      <c r="K280" s="46"/>
      <c r="L280" s="46">
        <f t="shared" si="21"/>
        <v>100000</v>
      </c>
      <c r="N280" s="16"/>
    </row>
    <row r="281" spans="1:16" s="165" customFormat="1" x14ac:dyDescent="0.2">
      <c r="A281" s="474"/>
      <c r="B281" s="160"/>
      <c r="C281" s="160"/>
      <c r="D281" s="474"/>
      <c r="E281" s="518"/>
      <c r="F281" s="292">
        <v>20</v>
      </c>
      <c r="G281" s="70"/>
      <c r="H281" s="292">
        <v>414</v>
      </c>
      <c r="I281" s="248" t="s">
        <v>34</v>
      </c>
      <c r="J281" s="46">
        <v>200000</v>
      </c>
      <c r="K281" s="46"/>
      <c r="L281" s="46">
        <f t="shared" si="21"/>
        <v>200000</v>
      </c>
      <c r="M281" s="992"/>
      <c r="N281" s="163"/>
      <c r="O281" s="163"/>
      <c r="P281" s="832"/>
    </row>
    <row r="282" spans="1:16" x14ac:dyDescent="0.2">
      <c r="A282" s="474"/>
      <c r="B282" s="160"/>
      <c r="C282" s="160"/>
      <c r="D282" s="474"/>
      <c r="E282" s="518"/>
      <c r="F282" s="292">
        <v>21</v>
      </c>
      <c r="G282" s="70"/>
      <c r="H282" s="292">
        <v>415</v>
      </c>
      <c r="I282" s="247" t="s">
        <v>5</v>
      </c>
      <c r="J282" s="46">
        <v>80000</v>
      </c>
      <c r="K282" s="46"/>
      <c r="L282" s="46">
        <f t="shared" si="21"/>
        <v>80000</v>
      </c>
      <c r="N282" s="16"/>
    </row>
    <row r="283" spans="1:16" x14ac:dyDescent="0.2">
      <c r="A283" s="474"/>
      <c r="B283" s="160"/>
      <c r="C283" s="160"/>
      <c r="D283" s="474"/>
      <c r="E283" s="518"/>
      <c r="F283" s="292">
        <v>22</v>
      </c>
      <c r="G283" s="70"/>
      <c r="H283" s="292">
        <v>416</v>
      </c>
      <c r="I283" s="247" t="s">
        <v>6</v>
      </c>
      <c r="J283" s="46">
        <v>10000</v>
      </c>
      <c r="K283" s="46"/>
      <c r="L283" s="46">
        <f t="shared" si="21"/>
        <v>10000</v>
      </c>
      <c r="N283" s="16"/>
    </row>
    <row r="284" spans="1:16" x14ac:dyDescent="0.2">
      <c r="A284" s="474"/>
      <c r="B284" s="160"/>
      <c r="C284" s="160"/>
      <c r="D284" s="474"/>
      <c r="E284" s="518"/>
      <c r="F284" s="292">
        <v>23</v>
      </c>
      <c r="G284" s="70"/>
      <c r="H284" s="292">
        <v>421</v>
      </c>
      <c r="I284" s="247" t="s">
        <v>7</v>
      </c>
      <c r="J284" s="46">
        <v>10000</v>
      </c>
      <c r="K284" s="46"/>
      <c r="L284" s="46">
        <f t="shared" si="21"/>
        <v>10000</v>
      </c>
      <c r="N284" s="16"/>
    </row>
    <row r="285" spans="1:16" x14ac:dyDescent="0.2">
      <c r="A285" s="474"/>
      <c r="B285" s="160"/>
      <c r="C285" s="160"/>
      <c r="D285" s="474"/>
      <c r="E285" s="518"/>
      <c r="F285" s="292">
        <v>24</v>
      </c>
      <c r="G285" s="70"/>
      <c r="H285" s="292">
        <v>422</v>
      </c>
      <c r="I285" s="247" t="s">
        <v>8</v>
      </c>
      <c r="J285" s="46">
        <v>50000</v>
      </c>
      <c r="K285" s="46"/>
      <c r="L285" s="46">
        <f t="shared" si="21"/>
        <v>50000</v>
      </c>
      <c r="N285" s="169"/>
    </row>
    <row r="286" spans="1:16" x14ac:dyDescent="0.2">
      <c r="A286" s="474"/>
      <c r="B286" s="160"/>
      <c r="C286" s="160"/>
      <c r="D286" s="474"/>
      <c r="E286" s="518"/>
      <c r="F286" s="292">
        <v>25</v>
      </c>
      <c r="G286" s="70"/>
      <c r="H286" s="292">
        <v>423</v>
      </c>
      <c r="I286" s="248" t="s">
        <v>9</v>
      </c>
      <c r="J286" s="46">
        <v>50000</v>
      </c>
      <c r="K286" s="46"/>
      <c r="L286" s="46">
        <f t="shared" si="21"/>
        <v>50000</v>
      </c>
      <c r="N286" s="16"/>
    </row>
    <row r="287" spans="1:16" x14ac:dyDescent="0.2">
      <c r="A287" s="474"/>
      <c r="B287" s="160"/>
      <c r="C287" s="160"/>
      <c r="D287" s="474"/>
      <c r="E287" s="518"/>
      <c r="F287" s="292">
        <v>26</v>
      </c>
      <c r="G287" s="70"/>
      <c r="H287" s="292">
        <v>426</v>
      </c>
      <c r="I287" s="248" t="s">
        <v>35</v>
      </c>
      <c r="J287" s="46">
        <v>350000</v>
      </c>
      <c r="K287" s="46"/>
      <c r="L287" s="46">
        <f t="shared" si="21"/>
        <v>350000</v>
      </c>
      <c r="N287" s="169"/>
    </row>
    <row r="288" spans="1:16" x14ac:dyDescent="0.2">
      <c r="A288" s="474"/>
      <c r="B288" s="160"/>
      <c r="C288" s="160"/>
      <c r="D288" s="474"/>
      <c r="E288" s="518"/>
      <c r="F288" s="292">
        <v>27</v>
      </c>
      <c r="G288" s="70"/>
      <c r="H288" s="292">
        <v>465</v>
      </c>
      <c r="I288" s="248" t="s">
        <v>167</v>
      </c>
      <c r="J288" s="46">
        <v>346500</v>
      </c>
      <c r="K288" s="46"/>
      <c r="L288" s="46">
        <f t="shared" si="21"/>
        <v>346500</v>
      </c>
      <c r="N288" s="16"/>
    </row>
    <row r="289" spans="1:12" x14ac:dyDescent="0.2">
      <c r="A289" s="474"/>
      <c r="B289" s="160"/>
      <c r="C289" s="160"/>
      <c r="D289" s="474"/>
      <c r="E289" s="518"/>
      <c r="F289" s="292"/>
      <c r="G289" s="70"/>
      <c r="H289" s="292"/>
      <c r="I289" s="256" t="s">
        <v>618</v>
      </c>
      <c r="J289" s="331">
        <f>SUM(J278:J288)</f>
        <v>4636500</v>
      </c>
      <c r="K289" s="331"/>
      <c r="L289" s="332">
        <f>SUM(L278:L288)</f>
        <v>4636500</v>
      </c>
    </row>
    <row r="290" spans="1:12" ht="15" x14ac:dyDescent="0.25">
      <c r="A290" s="474"/>
      <c r="B290" s="160"/>
      <c r="C290" s="160"/>
      <c r="D290" s="474"/>
      <c r="E290" s="518"/>
      <c r="F290" s="292"/>
      <c r="G290" s="47" t="s">
        <v>37</v>
      </c>
      <c r="H290" s="288"/>
      <c r="I290" s="57" t="s">
        <v>38</v>
      </c>
      <c r="J290" s="52">
        <f>SUM(J289)</f>
        <v>4636500</v>
      </c>
      <c r="K290" s="52"/>
      <c r="L290" s="52">
        <f>SUM(J290+K290)</f>
        <v>4636500</v>
      </c>
    </row>
    <row r="291" spans="1:12" ht="15" x14ac:dyDescent="0.25">
      <c r="A291" s="474"/>
      <c r="B291" s="160"/>
      <c r="C291" s="160"/>
      <c r="D291" s="474"/>
      <c r="E291" s="518"/>
      <c r="F291" s="292"/>
      <c r="G291" s="47"/>
      <c r="H291" s="288"/>
      <c r="I291" s="24"/>
      <c r="J291" s="27"/>
      <c r="K291" s="27"/>
      <c r="L291" s="53"/>
    </row>
    <row r="292" spans="1:12" x14ac:dyDescent="0.2">
      <c r="A292" s="476"/>
      <c r="B292" s="43"/>
      <c r="D292" s="476"/>
      <c r="E292" s="518"/>
      <c r="F292" s="284"/>
      <c r="G292" s="41"/>
      <c r="H292" s="285"/>
      <c r="I292" s="24"/>
      <c r="J292" s="27"/>
      <c r="K292" s="27"/>
      <c r="L292" s="53"/>
    </row>
    <row r="293" spans="1:12" x14ac:dyDescent="0.2">
      <c r="A293" s="588" t="s">
        <v>48</v>
      </c>
      <c r="B293" s="588"/>
      <c r="C293" s="588"/>
      <c r="D293" s="589"/>
      <c r="E293" s="590"/>
      <c r="F293" s="292"/>
      <c r="G293" s="591"/>
      <c r="H293" s="289"/>
      <c r="I293" s="592" t="s">
        <v>669</v>
      </c>
      <c r="J293" s="223"/>
      <c r="K293" s="223"/>
      <c r="L293" s="224"/>
    </row>
    <row r="294" spans="1:12" x14ac:dyDescent="0.2">
      <c r="A294" s="593"/>
      <c r="B294" s="594"/>
      <c r="C294" s="594"/>
      <c r="D294" s="595" t="s">
        <v>429</v>
      </c>
      <c r="E294" s="554"/>
      <c r="F294" s="736"/>
      <c r="G294" s="596"/>
      <c r="H294" s="597"/>
      <c r="I294" s="598" t="s">
        <v>428</v>
      </c>
      <c r="J294" s="599">
        <f>SUM(J313)</f>
        <v>57492900</v>
      </c>
      <c r="K294" s="599"/>
      <c r="L294" s="599">
        <f t="shared" ref="L294" si="22">SUM(L313)</f>
        <v>57492900</v>
      </c>
    </row>
    <row r="295" spans="1:12" x14ac:dyDescent="0.2">
      <c r="A295" s="600"/>
      <c r="B295" s="601"/>
      <c r="C295" s="601"/>
      <c r="D295" s="602"/>
      <c r="E295" s="563"/>
      <c r="F295" s="717"/>
      <c r="G295" s="603"/>
      <c r="H295" s="604"/>
      <c r="I295" s="605"/>
      <c r="J295" s="345"/>
      <c r="K295" s="345"/>
      <c r="L295" s="617"/>
    </row>
    <row r="296" spans="1:12" x14ac:dyDescent="0.2">
      <c r="A296" s="474"/>
      <c r="B296" s="160"/>
      <c r="C296" s="160"/>
      <c r="D296" s="474"/>
      <c r="E296" s="519"/>
      <c r="F296" s="454"/>
      <c r="G296" s="606"/>
      <c r="H296" s="607"/>
      <c r="I296" s="608" t="s">
        <v>237</v>
      </c>
      <c r="J296" s="609"/>
      <c r="K296" s="609"/>
      <c r="L296" s="610"/>
    </row>
    <row r="297" spans="1:12" x14ac:dyDescent="0.2">
      <c r="A297" s="474"/>
      <c r="B297" s="160"/>
      <c r="C297" s="160"/>
      <c r="D297" s="160"/>
      <c r="E297" s="519" t="s">
        <v>431</v>
      </c>
      <c r="F297" s="454"/>
      <c r="G297" s="606"/>
      <c r="H297" s="611"/>
      <c r="I297" s="612" t="s">
        <v>432</v>
      </c>
      <c r="J297" s="613"/>
      <c r="K297" s="613"/>
      <c r="L297" s="380"/>
    </row>
    <row r="298" spans="1:12" x14ac:dyDescent="0.2">
      <c r="A298" s="614"/>
      <c r="B298" s="614"/>
      <c r="C298" s="160"/>
      <c r="D298" s="614"/>
      <c r="E298" s="518"/>
      <c r="F298" s="292"/>
      <c r="G298" s="70"/>
      <c r="H298" s="425"/>
      <c r="I298" s="615"/>
      <c r="J298" s="479"/>
      <c r="K298" s="479"/>
      <c r="L298" s="616"/>
    </row>
    <row r="299" spans="1:12" ht="22.5" x14ac:dyDescent="0.2">
      <c r="A299" s="474"/>
      <c r="B299" s="160"/>
      <c r="C299" s="160">
        <v>110</v>
      </c>
      <c r="D299" s="474"/>
      <c r="E299" s="518"/>
      <c r="F299" s="292"/>
      <c r="G299" s="70"/>
      <c r="H299" s="289"/>
      <c r="I299" s="255" t="s">
        <v>289</v>
      </c>
      <c r="J299" s="329"/>
      <c r="K299" s="329"/>
      <c r="L299" s="330"/>
    </row>
    <row r="300" spans="1:12" x14ac:dyDescent="0.2">
      <c r="A300" s="474"/>
      <c r="B300" s="160"/>
      <c r="C300" s="160"/>
      <c r="D300" s="475"/>
      <c r="E300" s="518"/>
      <c r="F300" s="292"/>
      <c r="G300" s="70"/>
      <c r="H300" s="292"/>
      <c r="I300" s="161"/>
      <c r="J300" s="223"/>
      <c r="K300" s="223"/>
      <c r="L300" s="224"/>
    </row>
    <row r="301" spans="1:12" x14ac:dyDescent="0.2">
      <c r="A301" s="474"/>
      <c r="B301" s="160"/>
      <c r="C301" s="160"/>
      <c r="D301" s="474"/>
      <c r="E301" s="518"/>
      <c r="F301" s="292">
        <v>28</v>
      </c>
      <c r="G301" s="70"/>
      <c r="H301" s="292">
        <v>411</v>
      </c>
      <c r="I301" s="248" t="s">
        <v>2</v>
      </c>
      <c r="J301" s="46">
        <v>5694500</v>
      </c>
      <c r="K301" s="46"/>
      <c r="L301" s="46">
        <f t="shared" ref="L301:L312" si="23">SUM(J301+K301)</f>
        <v>5694500</v>
      </c>
    </row>
    <row r="302" spans="1:12" x14ac:dyDescent="0.2">
      <c r="A302" s="474"/>
      <c r="B302" s="160"/>
      <c r="C302" s="160"/>
      <c r="D302" s="474"/>
      <c r="E302" s="518"/>
      <c r="F302" s="292">
        <v>29</v>
      </c>
      <c r="G302" s="70"/>
      <c r="H302" s="292">
        <v>412</v>
      </c>
      <c r="I302" s="247" t="s">
        <v>3</v>
      </c>
      <c r="J302" s="46">
        <v>977000</v>
      </c>
      <c r="K302" s="46"/>
      <c r="L302" s="46">
        <f t="shared" si="23"/>
        <v>977000</v>
      </c>
    </row>
    <row r="303" spans="1:12" x14ac:dyDescent="0.2">
      <c r="A303" s="474"/>
      <c r="B303" s="160"/>
      <c r="C303" s="160"/>
      <c r="D303" s="474"/>
      <c r="E303" s="518"/>
      <c r="F303" s="292">
        <v>30</v>
      </c>
      <c r="G303" s="70"/>
      <c r="H303" s="292">
        <v>413</v>
      </c>
      <c r="I303" s="247" t="s">
        <v>33</v>
      </c>
      <c r="J303" s="46">
        <v>50000</v>
      </c>
      <c r="K303" s="46"/>
      <c r="L303" s="46">
        <f t="shared" si="23"/>
        <v>50000</v>
      </c>
    </row>
    <row r="304" spans="1:12" x14ac:dyDescent="0.2">
      <c r="A304" s="474"/>
      <c r="B304" s="160"/>
      <c r="C304" s="160"/>
      <c r="D304" s="474"/>
      <c r="E304" s="518"/>
      <c r="F304" s="292">
        <v>31</v>
      </c>
      <c r="G304" s="70"/>
      <c r="H304" s="292">
        <v>414</v>
      </c>
      <c r="I304" s="248" t="s">
        <v>34</v>
      </c>
      <c r="J304" s="46">
        <v>200000</v>
      </c>
      <c r="K304" s="46"/>
      <c r="L304" s="46">
        <f t="shared" si="23"/>
        <v>200000</v>
      </c>
    </row>
    <row r="305" spans="1:13" x14ac:dyDescent="0.2">
      <c r="A305" s="474"/>
      <c r="B305" s="160"/>
      <c r="C305" s="160"/>
      <c r="D305" s="474"/>
      <c r="E305" s="518"/>
      <c r="F305" s="292">
        <v>32</v>
      </c>
      <c r="G305" s="70"/>
      <c r="H305" s="292">
        <v>415</v>
      </c>
      <c r="I305" s="247" t="s">
        <v>5</v>
      </c>
      <c r="J305" s="46">
        <v>100000</v>
      </c>
      <c r="K305" s="46"/>
      <c r="L305" s="46">
        <f t="shared" si="23"/>
        <v>100000</v>
      </c>
    </row>
    <row r="306" spans="1:13" x14ac:dyDescent="0.2">
      <c r="A306" s="474"/>
      <c r="B306" s="160"/>
      <c r="C306" s="160"/>
      <c r="D306" s="474"/>
      <c r="E306" s="518"/>
      <c r="F306" s="292">
        <v>33</v>
      </c>
      <c r="G306" s="70"/>
      <c r="H306" s="292">
        <v>416</v>
      </c>
      <c r="I306" s="247" t="s">
        <v>6</v>
      </c>
      <c r="J306" s="328">
        <v>8800000</v>
      </c>
      <c r="K306" s="46"/>
      <c r="L306" s="46">
        <f t="shared" si="23"/>
        <v>8800000</v>
      </c>
    </row>
    <row r="307" spans="1:13" x14ac:dyDescent="0.2">
      <c r="A307" s="474"/>
      <c r="B307" s="160"/>
      <c r="C307" s="160"/>
      <c r="D307" s="474"/>
      <c r="E307" s="518"/>
      <c r="F307" s="292">
        <v>34</v>
      </c>
      <c r="G307" s="70"/>
      <c r="H307" s="292">
        <v>421</v>
      </c>
      <c r="I307" s="247" t="s">
        <v>7</v>
      </c>
      <c r="J307" s="46">
        <v>4000000</v>
      </c>
      <c r="K307" s="46"/>
      <c r="L307" s="46">
        <f t="shared" si="23"/>
        <v>4000000</v>
      </c>
    </row>
    <row r="308" spans="1:13" x14ac:dyDescent="0.2">
      <c r="A308" s="474"/>
      <c r="B308" s="160"/>
      <c r="C308" s="160"/>
      <c r="D308" s="474"/>
      <c r="E308" s="518"/>
      <c r="F308" s="292">
        <v>35</v>
      </c>
      <c r="G308" s="70"/>
      <c r="H308" s="292">
        <v>422</v>
      </c>
      <c r="I308" s="247" t="s">
        <v>8</v>
      </c>
      <c r="J308" s="46">
        <v>3500000</v>
      </c>
      <c r="K308" s="46"/>
      <c r="L308" s="46">
        <f t="shared" si="23"/>
        <v>3500000</v>
      </c>
      <c r="M308" s="1013"/>
    </row>
    <row r="309" spans="1:13" x14ac:dyDescent="0.2">
      <c r="A309" s="474"/>
      <c r="B309" s="160"/>
      <c r="C309" s="160"/>
      <c r="D309" s="474"/>
      <c r="E309" s="518"/>
      <c r="F309" s="292">
        <v>36</v>
      </c>
      <c r="G309" s="70"/>
      <c r="H309" s="292">
        <v>423</v>
      </c>
      <c r="I309" s="248" t="s">
        <v>9</v>
      </c>
      <c r="J309" s="46">
        <v>30000000</v>
      </c>
      <c r="K309" s="46"/>
      <c r="L309" s="46">
        <f t="shared" si="23"/>
        <v>30000000</v>
      </c>
    </row>
    <row r="310" spans="1:13" x14ac:dyDescent="0.2">
      <c r="A310" s="474"/>
      <c r="B310" s="160"/>
      <c r="C310" s="160"/>
      <c r="D310" s="474"/>
      <c r="E310" s="518"/>
      <c r="F310" s="292">
        <v>37</v>
      </c>
      <c r="G310" s="70"/>
      <c r="H310" s="292">
        <v>424</v>
      </c>
      <c r="I310" s="248" t="s">
        <v>10</v>
      </c>
      <c r="J310" s="46">
        <v>2000000</v>
      </c>
      <c r="K310" s="46"/>
      <c r="L310" s="46">
        <f t="shared" si="23"/>
        <v>2000000</v>
      </c>
      <c r="M310" s="1013"/>
    </row>
    <row r="311" spans="1:13" x14ac:dyDescent="0.2">
      <c r="A311" s="474"/>
      <c r="B311" s="160"/>
      <c r="C311" s="160"/>
      <c r="D311" s="474"/>
      <c r="E311" s="518"/>
      <c r="F311" s="292">
        <v>38</v>
      </c>
      <c r="G311" s="70"/>
      <c r="H311" s="292">
        <v>426</v>
      </c>
      <c r="I311" s="248" t="s">
        <v>35</v>
      </c>
      <c r="J311" s="46">
        <v>1500000</v>
      </c>
      <c r="K311" s="46"/>
      <c r="L311" s="46">
        <f t="shared" si="23"/>
        <v>1500000</v>
      </c>
    </row>
    <row r="312" spans="1:13" x14ac:dyDescent="0.2">
      <c r="A312" s="474"/>
      <c r="B312" s="160"/>
      <c r="C312" s="160"/>
      <c r="D312" s="474"/>
      <c r="E312" s="518"/>
      <c r="F312" s="292">
        <v>39</v>
      </c>
      <c r="G312" s="70"/>
      <c r="H312" s="292">
        <v>465</v>
      </c>
      <c r="I312" s="248" t="s">
        <v>167</v>
      </c>
      <c r="J312" s="46">
        <v>671400</v>
      </c>
      <c r="K312" s="46"/>
      <c r="L312" s="46">
        <f t="shared" si="23"/>
        <v>671400</v>
      </c>
    </row>
    <row r="313" spans="1:13" x14ac:dyDescent="0.2">
      <c r="A313" s="474"/>
      <c r="B313" s="160"/>
      <c r="C313" s="160"/>
      <c r="D313" s="474"/>
      <c r="E313" s="518"/>
      <c r="F313" s="292"/>
      <c r="G313" s="70"/>
      <c r="H313" s="292"/>
      <c r="I313" s="256" t="s">
        <v>616</v>
      </c>
      <c r="J313" s="331">
        <f>SUM(J301:J312)</f>
        <v>57492900</v>
      </c>
      <c r="K313" s="331"/>
      <c r="L313" s="332">
        <f t="shared" ref="L313" si="24">SUM(L301:L312)</f>
        <v>57492900</v>
      </c>
    </row>
    <row r="314" spans="1:13" x14ac:dyDescent="0.2">
      <c r="A314" s="474"/>
      <c r="B314" s="160"/>
      <c r="C314" s="160"/>
      <c r="D314" s="474"/>
      <c r="E314" s="518"/>
      <c r="F314" s="284"/>
      <c r="G314" s="47" t="s">
        <v>37</v>
      </c>
      <c r="H314" s="286"/>
      <c r="I314" s="194" t="s">
        <v>38</v>
      </c>
      <c r="J314" s="51">
        <f>SUM(J313-J315)</f>
        <v>56492900</v>
      </c>
      <c r="K314" s="51"/>
      <c r="L314" s="51">
        <f>SUM(J314+K314)</f>
        <v>56492900</v>
      </c>
    </row>
    <row r="315" spans="1:13" x14ac:dyDescent="0.2">
      <c r="A315" s="474"/>
      <c r="B315" s="160"/>
      <c r="C315" s="160"/>
      <c r="D315" s="474"/>
      <c r="E315" s="518"/>
      <c r="F315" s="284"/>
      <c r="G315" s="47" t="s">
        <v>113</v>
      </c>
      <c r="H315" s="286"/>
      <c r="I315" s="194" t="s">
        <v>280</v>
      </c>
      <c r="J315" s="67">
        <v>1000000</v>
      </c>
      <c r="K315" s="67"/>
      <c r="L315" s="51">
        <f>SUM(J315+K315)</f>
        <v>1000000</v>
      </c>
    </row>
    <row r="316" spans="1:13" x14ac:dyDescent="0.2">
      <c r="A316" s="474"/>
      <c r="B316" s="160"/>
      <c r="C316" s="160"/>
      <c r="D316" s="474"/>
      <c r="E316" s="518"/>
      <c r="F316" s="292"/>
      <c r="G316" s="291"/>
      <c r="H316" s="286"/>
      <c r="I316" s="618"/>
      <c r="J316" s="329"/>
      <c r="K316" s="329"/>
      <c r="L316" s="330"/>
    </row>
    <row r="317" spans="1:13" x14ac:dyDescent="0.2">
      <c r="A317" s="474"/>
      <c r="B317" s="160"/>
      <c r="C317" s="160"/>
      <c r="D317" s="474"/>
      <c r="E317" s="518"/>
      <c r="F317" s="292"/>
      <c r="G317" s="70"/>
      <c r="H317" s="289"/>
      <c r="I317" s="161"/>
      <c r="J317" s="167"/>
      <c r="K317" s="167"/>
      <c r="L317" s="167"/>
    </row>
    <row r="318" spans="1:13" x14ac:dyDescent="0.2">
      <c r="A318" s="588" t="s">
        <v>414</v>
      </c>
      <c r="B318" s="588"/>
      <c r="C318" s="588"/>
      <c r="D318" s="589"/>
      <c r="E318" s="590"/>
      <c r="F318" s="292"/>
      <c r="G318" s="591"/>
      <c r="H318" s="289"/>
      <c r="I318" s="592" t="s">
        <v>670</v>
      </c>
      <c r="J318" s="223"/>
      <c r="K318" s="223"/>
      <c r="L318" s="224"/>
    </row>
    <row r="319" spans="1:13" x14ac:dyDescent="0.2">
      <c r="A319" s="593"/>
      <c r="B319" s="594"/>
      <c r="C319" s="594"/>
      <c r="D319" s="595" t="s">
        <v>429</v>
      </c>
      <c r="E319" s="554"/>
      <c r="F319" s="736"/>
      <c r="G319" s="596"/>
      <c r="H319" s="597"/>
      <c r="I319" s="598" t="s">
        <v>428</v>
      </c>
      <c r="J319" s="599">
        <f>SUM(J328)</f>
        <v>7600000</v>
      </c>
      <c r="K319" s="599"/>
      <c r="L319" s="619">
        <f>SUM(J319:K319)</f>
        <v>7600000</v>
      </c>
    </row>
    <row r="320" spans="1:13" x14ac:dyDescent="0.2">
      <c r="A320" s="600"/>
      <c r="B320" s="601"/>
      <c r="C320" s="601"/>
      <c r="D320" s="602"/>
      <c r="E320" s="563"/>
      <c r="F320" s="717"/>
      <c r="G320" s="603"/>
      <c r="H320" s="604"/>
      <c r="I320" s="605"/>
      <c r="J320" s="345"/>
      <c r="K320" s="345"/>
      <c r="L320" s="617"/>
    </row>
    <row r="321" spans="1:12" x14ac:dyDescent="0.2">
      <c r="A321" s="474"/>
      <c r="B321" s="160"/>
      <c r="C321" s="160"/>
      <c r="D321" s="474"/>
      <c r="E321" s="519"/>
      <c r="F321" s="454"/>
      <c r="G321" s="606"/>
      <c r="H321" s="607"/>
      <c r="I321" s="608" t="s">
        <v>237</v>
      </c>
      <c r="J321" s="609"/>
      <c r="K321" s="609"/>
      <c r="L321" s="610"/>
    </row>
    <row r="322" spans="1:12" x14ac:dyDescent="0.2">
      <c r="A322" s="474"/>
      <c r="B322" s="160"/>
      <c r="C322" s="160"/>
      <c r="D322" s="160"/>
      <c r="E322" s="519" t="s">
        <v>431</v>
      </c>
      <c r="F322" s="454"/>
      <c r="G322" s="606"/>
      <c r="H322" s="611"/>
      <c r="I322" s="612" t="s">
        <v>432</v>
      </c>
      <c r="J322" s="613"/>
      <c r="K322" s="613"/>
      <c r="L322" s="380"/>
    </row>
    <row r="323" spans="1:12" x14ac:dyDescent="0.2">
      <c r="E323" s="518"/>
      <c r="F323" s="284"/>
      <c r="G323" s="41"/>
      <c r="H323" s="286"/>
      <c r="I323" s="26"/>
      <c r="J323" s="479"/>
      <c r="K323" s="479"/>
      <c r="L323" s="616"/>
    </row>
    <row r="324" spans="1:12" ht="22.5" x14ac:dyDescent="0.2">
      <c r="A324" s="476"/>
      <c r="B324" s="43"/>
      <c r="C324" s="160">
        <v>110</v>
      </c>
      <c r="D324" s="474"/>
      <c r="E324" s="518"/>
      <c r="F324" s="292"/>
      <c r="G324" s="70"/>
      <c r="H324" s="289"/>
      <c r="I324" s="255" t="s">
        <v>289</v>
      </c>
      <c r="J324" s="329"/>
      <c r="K324" s="329"/>
      <c r="L324" s="330"/>
    </row>
    <row r="325" spans="1:12" x14ac:dyDescent="0.2">
      <c r="A325" s="476"/>
      <c r="B325" s="43"/>
      <c r="C325" s="160"/>
      <c r="D325" s="475"/>
      <c r="E325" s="518"/>
      <c r="F325" s="292"/>
      <c r="G325" s="70"/>
      <c r="H325" s="292"/>
      <c r="I325" s="161"/>
      <c r="J325" s="223"/>
      <c r="K325" s="223"/>
      <c r="L325" s="224"/>
    </row>
    <row r="326" spans="1:12" x14ac:dyDescent="0.2">
      <c r="A326" s="476"/>
      <c r="B326" s="43"/>
      <c r="C326" s="160"/>
      <c r="D326" s="474"/>
      <c r="E326" s="518"/>
      <c r="F326" s="292">
        <v>40</v>
      </c>
      <c r="G326" s="70"/>
      <c r="H326" s="292">
        <v>416</v>
      </c>
      <c r="I326" s="247" t="s">
        <v>6</v>
      </c>
      <c r="J326" s="46">
        <f>1000000+600000</f>
        <v>1600000</v>
      </c>
      <c r="K326" s="46"/>
      <c r="L326" s="46">
        <f t="shared" ref="L326:L327" si="25">SUM(J326+K326)</f>
        <v>1600000</v>
      </c>
    </row>
    <row r="327" spans="1:12" x14ac:dyDescent="0.2">
      <c r="A327" s="476"/>
      <c r="B327" s="43"/>
      <c r="C327" s="160"/>
      <c r="D327" s="474"/>
      <c r="E327" s="518"/>
      <c r="F327" s="292">
        <v>41</v>
      </c>
      <c r="G327" s="70"/>
      <c r="H327" s="292">
        <v>423</v>
      </c>
      <c r="I327" s="247" t="s">
        <v>9</v>
      </c>
      <c r="J327" s="46">
        <v>6000000</v>
      </c>
      <c r="K327" s="46"/>
      <c r="L327" s="46">
        <f t="shared" si="25"/>
        <v>6000000</v>
      </c>
    </row>
    <row r="328" spans="1:12" x14ac:dyDescent="0.2">
      <c r="A328" s="476"/>
      <c r="B328" s="43"/>
      <c r="C328" s="160"/>
      <c r="D328" s="474"/>
      <c r="E328" s="518"/>
      <c r="F328" s="292"/>
      <c r="G328" s="70"/>
      <c r="H328" s="292"/>
      <c r="I328" s="256" t="s">
        <v>616</v>
      </c>
      <c r="J328" s="331">
        <f>SUM(J326:J327)</f>
        <v>7600000</v>
      </c>
      <c r="K328" s="331"/>
      <c r="L328" s="332">
        <f>SUM(J328:K328)</f>
        <v>7600000</v>
      </c>
    </row>
    <row r="329" spans="1:12" ht="15" x14ac:dyDescent="0.25">
      <c r="A329" s="476"/>
      <c r="B329" s="43"/>
      <c r="C329" s="160"/>
      <c r="D329" s="474"/>
      <c r="E329" s="518"/>
      <c r="F329" s="292"/>
      <c r="G329" s="291" t="s">
        <v>37</v>
      </c>
      <c r="H329" s="290"/>
      <c r="I329" s="190" t="s">
        <v>38</v>
      </c>
      <c r="J329" s="174">
        <f>SUM(J328)</f>
        <v>7600000</v>
      </c>
      <c r="K329" s="174"/>
      <c r="L329" s="174">
        <f>SUM(J329+K329)</f>
        <v>7600000</v>
      </c>
    </row>
    <row r="330" spans="1:12" x14ac:dyDescent="0.2">
      <c r="A330" s="474"/>
      <c r="B330" s="160"/>
      <c r="C330" s="160"/>
      <c r="D330" s="474"/>
      <c r="E330" s="518"/>
      <c r="F330" s="292"/>
      <c r="G330" s="70"/>
      <c r="H330" s="289"/>
      <c r="I330" s="161"/>
      <c r="J330" s="167"/>
      <c r="K330" s="167"/>
      <c r="L330" s="300"/>
    </row>
    <row r="331" spans="1:12" x14ac:dyDescent="0.2">
      <c r="A331" s="474"/>
      <c r="B331" s="160"/>
      <c r="C331" s="160"/>
      <c r="D331" s="474"/>
      <c r="E331" s="518"/>
      <c r="F331" s="292"/>
      <c r="G331" s="70"/>
      <c r="H331" s="289"/>
      <c r="I331" s="161"/>
      <c r="J331" s="167"/>
      <c r="K331" s="167"/>
      <c r="L331" s="300"/>
    </row>
    <row r="332" spans="1:12" x14ac:dyDescent="0.2">
      <c r="A332" s="620" t="s">
        <v>697</v>
      </c>
      <c r="B332" s="620"/>
      <c r="C332" s="620"/>
      <c r="D332" s="621"/>
      <c r="E332" s="590"/>
      <c r="F332" s="284"/>
      <c r="G332" s="622"/>
      <c r="H332" s="285"/>
      <c r="I332" s="623" t="s">
        <v>49</v>
      </c>
      <c r="J332" s="624"/>
      <c r="K332" s="624"/>
      <c r="L332" s="625"/>
    </row>
    <row r="333" spans="1:12" x14ac:dyDescent="0.2">
      <c r="A333" s="626"/>
      <c r="B333" s="627"/>
      <c r="C333" s="627"/>
      <c r="D333" s="553" t="s">
        <v>239</v>
      </c>
      <c r="E333" s="554"/>
      <c r="F333" s="638"/>
      <c r="G333" s="628"/>
      <c r="H333" s="629"/>
      <c r="I333" s="630" t="s">
        <v>430</v>
      </c>
      <c r="J333" s="631">
        <f>SUM(J363+J373+J378+J385+J391+J396+J403+J410+J418+J425+J430+J437+J444)</f>
        <v>622967161.38000011</v>
      </c>
      <c r="K333" s="631"/>
      <c r="L333" s="631">
        <f t="shared" ref="L333" si="26">SUM(L363+L373+L378+L385+L391+L396+L403+L410+L418+L425+L430+L437+L444)</f>
        <v>622967161.38000011</v>
      </c>
    </row>
    <row r="334" spans="1:12" x14ac:dyDescent="0.2">
      <c r="A334" s="582"/>
      <c r="B334" s="583"/>
      <c r="C334" s="583"/>
      <c r="D334" s="562"/>
      <c r="E334" s="563"/>
      <c r="F334" s="407"/>
      <c r="G334" s="294"/>
      <c r="H334" s="584"/>
      <c r="I334" s="632"/>
      <c r="J334" s="299"/>
      <c r="K334" s="299"/>
      <c r="L334" s="49"/>
    </row>
    <row r="335" spans="1:12" x14ac:dyDescent="0.2">
      <c r="A335" s="476"/>
      <c r="B335" s="43"/>
      <c r="D335" s="476"/>
      <c r="E335" s="519"/>
      <c r="F335" s="404"/>
      <c r="G335" s="302"/>
      <c r="H335" s="419"/>
      <c r="I335" s="363" t="s">
        <v>272</v>
      </c>
      <c r="J335" s="455"/>
      <c r="K335" s="455"/>
      <c r="L335" s="304"/>
    </row>
    <row r="336" spans="1:12" x14ac:dyDescent="0.2">
      <c r="A336" s="476"/>
      <c r="B336" s="43"/>
      <c r="D336" s="43"/>
      <c r="E336" s="519" t="s">
        <v>262</v>
      </c>
      <c r="F336" s="404"/>
      <c r="G336" s="302"/>
      <c r="H336" s="422"/>
      <c r="I336" s="365" t="s">
        <v>263</v>
      </c>
      <c r="J336" s="366"/>
      <c r="K336" s="366"/>
      <c r="L336" s="369"/>
    </row>
    <row r="337" spans="1:13" x14ac:dyDescent="0.2">
      <c r="A337" s="550"/>
      <c r="B337" s="401"/>
      <c r="C337" s="401"/>
      <c r="D337" s="401"/>
      <c r="E337" s="521"/>
      <c r="F337" s="406"/>
      <c r="G337" s="203"/>
      <c r="H337" s="313"/>
      <c r="I337" s="17"/>
      <c r="J337" s="28"/>
      <c r="K337" s="28"/>
      <c r="L337" s="68"/>
      <c r="M337" s="1002"/>
    </row>
    <row r="338" spans="1:13" x14ac:dyDescent="0.2">
      <c r="A338" s="476"/>
      <c r="B338" s="633"/>
      <c r="C338" s="43">
        <v>130</v>
      </c>
      <c r="D338" s="43"/>
      <c r="E338" s="518"/>
      <c r="F338" s="284"/>
      <c r="G338" s="41"/>
      <c r="H338" s="284"/>
      <c r="I338" s="211" t="s">
        <v>50</v>
      </c>
      <c r="J338" s="109"/>
      <c r="K338" s="109"/>
      <c r="L338" s="205"/>
    </row>
    <row r="339" spans="1:13" x14ac:dyDescent="0.2">
      <c r="A339" s="476"/>
      <c r="B339" s="633"/>
      <c r="D339" s="43"/>
      <c r="E339" s="518"/>
      <c r="F339" s="284"/>
      <c r="G339" s="41"/>
      <c r="H339" s="284"/>
      <c r="I339" s="24"/>
      <c r="J339" s="109"/>
      <c r="K339" s="109"/>
      <c r="L339" s="205"/>
    </row>
    <row r="340" spans="1:13" x14ac:dyDescent="0.2">
      <c r="A340" s="476"/>
      <c r="B340" s="634"/>
      <c r="D340" s="476"/>
      <c r="E340" s="518"/>
      <c r="F340" s="284">
        <v>42</v>
      </c>
      <c r="G340" s="41"/>
      <c r="H340" s="284">
        <v>411</v>
      </c>
      <c r="I340" s="194" t="s">
        <v>2</v>
      </c>
      <c r="J340" s="195">
        <f>95317000+276000</f>
        <v>95593000</v>
      </c>
      <c r="K340" s="51"/>
      <c r="L340" s="51">
        <f t="shared" ref="L340:L362" si="27">SUM(J340+K340)</f>
        <v>95593000</v>
      </c>
    </row>
    <row r="341" spans="1:13" x14ac:dyDescent="0.2">
      <c r="A341" s="476"/>
      <c r="B341" s="43"/>
      <c r="D341" s="476"/>
      <c r="E341" s="518"/>
      <c r="F341" s="284">
        <v>43</v>
      </c>
      <c r="G341" s="41"/>
      <c r="H341" s="284">
        <v>412</v>
      </c>
      <c r="I341" s="243" t="s">
        <v>3</v>
      </c>
      <c r="J341" s="195">
        <v>16395000</v>
      </c>
      <c r="K341" s="51"/>
      <c r="L341" s="51">
        <f t="shared" si="27"/>
        <v>16395000</v>
      </c>
    </row>
    <row r="342" spans="1:13" x14ac:dyDescent="0.2">
      <c r="A342" s="476"/>
      <c r="B342" s="43"/>
      <c r="D342" s="476"/>
      <c r="E342" s="518"/>
      <c r="F342" s="284">
        <v>44</v>
      </c>
      <c r="G342" s="41"/>
      <c r="H342" s="284">
        <v>413</v>
      </c>
      <c r="I342" s="194" t="s">
        <v>33</v>
      </c>
      <c r="J342" s="51">
        <v>1500000</v>
      </c>
      <c r="K342" s="51"/>
      <c r="L342" s="51">
        <f t="shared" si="27"/>
        <v>1500000</v>
      </c>
    </row>
    <row r="343" spans="1:13" x14ac:dyDescent="0.2">
      <c r="A343" s="476"/>
      <c r="B343" s="43"/>
      <c r="D343" s="476"/>
      <c r="E343" s="518"/>
      <c r="F343" s="284">
        <v>45</v>
      </c>
      <c r="G343" s="41"/>
      <c r="H343" s="284">
        <v>414</v>
      </c>
      <c r="I343" s="194" t="s">
        <v>4</v>
      </c>
      <c r="J343" s="51">
        <v>4600000</v>
      </c>
      <c r="K343" s="51"/>
      <c r="L343" s="51">
        <f t="shared" si="27"/>
        <v>4600000</v>
      </c>
    </row>
    <row r="344" spans="1:13" x14ac:dyDescent="0.2">
      <c r="A344" s="476"/>
      <c r="B344" s="43"/>
      <c r="D344" s="476"/>
      <c r="E344" s="518"/>
      <c r="F344" s="284">
        <v>46</v>
      </c>
      <c r="G344" s="41"/>
      <c r="H344" s="284">
        <v>415</v>
      </c>
      <c r="I344" s="243" t="s">
        <v>5</v>
      </c>
      <c r="J344" s="51">
        <v>3200000</v>
      </c>
      <c r="K344" s="51"/>
      <c r="L344" s="51">
        <f t="shared" si="27"/>
        <v>3200000</v>
      </c>
    </row>
    <row r="345" spans="1:13" x14ac:dyDescent="0.2">
      <c r="A345" s="476"/>
      <c r="B345" s="43"/>
      <c r="D345" s="476"/>
      <c r="E345" s="518"/>
      <c r="F345" s="284">
        <v>47</v>
      </c>
      <c r="G345" s="41"/>
      <c r="H345" s="284">
        <v>416</v>
      </c>
      <c r="I345" s="243" t="s">
        <v>6</v>
      </c>
      <c r="J345" s="51">
        <v>2000000</v>
      </c>
      <c r="K345" s="51"/>
      <c r="L345" s="51">
        <f t="shared" si="27"/>
        <v>2000000</v>
      </c>
    </row>
    <row r="346" spans="1:13" x14ac:dyDescent="0.2">
      <c r="A346" s="43"/>
      <c r="B346" s="43"/>
      <c r="D346" s="43"/>
      <c r="E346" s="518"/>
      <c r="F346" s="284">
        <v>48</v>
      </c>
      <c r="G346" s="41"/>
      <c r="H346" s="284">
        <v>421</v>
      </c>
      <c r="I346" s="243" t="s">
        <v>7</v>
      </c>
      <c r="J346" s="51">
        <f>36579862.82-1741.96+200+67-88368-586.6+110.46+348.01+200+2777.75-77.9-1620.18-12.22</f>
        <v>36491159.18</v>
      </c>
      <c r="K346" s="51"/>
      <c r="L346" s="51">
        <f t="shared" si="27"/>
        <v>36491159.18</v>
      </c>
    </row>
    <row r="347" spans="1:13" x14ac:dyDescent="0.2">
      <c r="A347" s="476"/>
      <c r="B347" s="43"/>
      <c r="D347" s="476"/>
      <c r="E347" s="518"/>
      <c r="F347" s="284">
        <v>49</v>
      </c>
      <c r="G347" s="41"/>
      <c r="H347" s="284">
        <v>422</v>
      </c>
      <c r="I347" s="194" t="s">
        <v>8</v>
      </c>
      <c r="J347" s="51">
        <v>2000000</v>
      </c>
      <c r="K347" s="51"/>
      <c r="L347" s="51">
        <f t="shared" si="27"/>
        <v>2000000</v>
      </c>
    </row>
    <row r="348" spans="1:13" x14ac:dyDescent="0.2">
      <c r="A348" s="476"/>
      <c r="B348" s="43"/>
      <c r="D348" s="476"/>
      <c r="E348" s="518"/>
      <c r="F348" s="284">
        <v>50</v>
      </c>
      <c r="G348" s="41"/>
      <c r="H348" s="284">
        <v>423</v>
      </c>
      <c r="I348" s="194" t="s">
        <v>9</v>
      </c>
      <c r="J348" s="51">
        <v>31100000</v>
      </c>
      <c r="K348" s="51"/>
      <c r="L348" s="51">
        <f t="shared" si="27"/>
        <v>31100000</v>
      </c>
    </row>
    <row r="349" spans="1:13" x14ac:dyDescent="0.2">
      <c r="A349" s="476"/>
      <c r="B349" s="43"/>
      <c r="D349" s="476"/>
      <c r="E349" s="518"/>
      <c r="F349" s="284">
        <v>51</v>
      </c>
      <c r="G349" s="41"/>
      <c r="H349" s="284">
        <v>424</v>
      </c>
      <c r="I349" s="194" t="s">
        <v>10</v>
      </c>
      <c r="J349" s="51">
        <f>25200000+600000+1000000</f>
        <v>26800000</v>
      </c>
      <c r="K349" s="51"/>
      <c r="L349" s="51">
        <f t="shared" si="27"/>
        <v>26800000</v>
      </c>
    </row>
    <row r="350" spans="1:13" x14ac:dyDescent="0.2">
      <c r="A350" s="476"/>
      <c r="B350" s="43"/>
      <c r="D350" s="476"/>
      <c r="E350" s="518"/>
      <c r="F350" s="284">
        <v>52</v>
      </c>
      <c r="G350" s="41"/>
      <c r="H350" s="284">
        <v>425</v>
      </c>
      <c r="I350" s="194" t="s">
        <v>11</v>
      </c>
      <c r="J350" s="51">
        <v>21200000</v>
      </c>
      <c r="K350" s="51"/>
      <c r="L350" s="51">
        <f t="shared" si="27"/>
        <v>21200000</v>
      </c>
    </row>
    <row r="351" spans="1:13" x14ac:dyDescent="0.2">
      <c r="A351" s="476"/>
      <c r="B351" s="43"/>
      <c r="D351" s="476"/>
      <c r="E351" s="518"/>
      <c r="F351" s="284">
        <v>53</v>
      </c>
      <c r="G351" s="41"/>
      <c r="H351" s="284">
        <v>426</v>
      </c>
      <c r="I351" s="194" t="s">
        <v>35</v>
      </c>
      <c r="J351" s="51">
        <v>33900000</v>
      </c>
      <c r="K351" s="51"/>
      <c r="L351" s="51">
        <f t="shared" si="27"/>
        <v>33900000</v>
      </c>
    </row>
    <row r="352" spans="1:13" x14ac:dyDescent="0.2">
      <c r="A352" s="476"/>
      <c r="B352" s="43"/>
      <c r="D352" s="476"/>
      <c r="E352" s="518"/>
      <c r="F352" s="284">
        <v>54</v>
      </c>
      <c r="G352" s="41"/>
      <c r="H352" s="284">
        <v>441</v>
      </c>
      <c r="I352" s="194" t="s">
        <v>13</v>
      </c>
      <c r="J352" s="51">
        <v>1000000</v>
      </c>
      <c r="K352" s="51"/>
      <c r="L352" s="51">
        <f t="shared" si="27"/>
        <v>1000000</v>
      </c>
    </row>
    <row r="353" spans="1:14" x14ac:dyDescent="0.2">
      <c r="A353" s="476"/>
      <c r="B353" s="43"/>
      <c r="D353" s="476"/>
      <c r="E353" s="518"/>
      <c r="F353" s="284">
        <v>55</v>
      </c>
      <c r="G353" s="41"/>
      <c r="H353" s="284">
        <v>444</v>
      </c>
      <c r="I353" s="194" t="s">
        <v>14</v>
      </c>
      <c r="J353" s="51">
        <v>500000</v>
      </c>
      <c r="K353" s="51"/>
      <c r="L353" s="51">
        <f t="shared" si="27"/>
        <v>500000</v>
      </c>
    </row>
    <row r="354" spans="1:14" x14ac:dyDescent="0.2">
      <c r="A354" s="476"/>
      <c r="B354" s="43"/>
      <c r="D354" s="476"/>
      <c r="E354" s="518"/>
      <c r="F354" s="284">
        <v>56</v>
      </c>
      <c r="G354" s="41"/>
      <c r="H354" s="284">
        <v>465</v>
      </c>
      <c r="I354" s="194" t="s">
        <v>167</v>
      </c>
      <c r="J354" s="51">
        <v>11237500</v>
      </c>
      <c r="K354" s="51"/>
      <c r="L354" s="51">
        <f t="shared" si="27"/>
        <v>11237500</v>
      </c>
    </row>
    <row r="355" spans="1:14" x14ac:dyDescent="0.2">
      <c r="A355" s="476"/>
      <c r="B355" s="43"/>
      <c r="D355" s="476"/>
      <c r="E355" s="518"/>
      <c r="F355" s="284">
        <v>57</v>
      </c>
      <c r="G355" s="41"/>
      <c r="H355" s="284">
        <v>482</v>
      </c>
      <c r="I355" s="194" t="s">
        <v>17</v>
      </c>
      <c r="J355" s="51">
        <v>1200000</v>
      </c>
      <c r="K355" s="51"/>
      <c r="L355" s="51">
        <f t="shared" si="27"/>
        <v>1200000</v>
      </c>
    </row>
    <row r="356" spans="1:14" x14ac:dyDescent="0.2">
      <c r="A356" s="43"/>
      <c r="B356" s="43"/>
      <c r="D356" s="43"/>
      <c r="E356" s="518"/>
      <c r="F356" s="284">
        <v>58</v>
      </c>
      <c r="G356" s="41"/>
      <c r="H356" s="284">
        <v>483</v>
      </c>
      <c r="I356" s="243" t="s">
        <v>18</v>
      </c>
      <c r="J356" s="51">
        <v>98800000</v>
      </c>
      <c r="K356" s="51"/>
      <c r="L356" s="51">
        <f t="shared" si="27"/>
        <v>98800000</v>
      </c>
    </row>
    <row r="357" spans="1:14" x14ac:dyDescent="0.2">
      <c r="A357" s="43"/>
      <c r="B357" s="43"/>
      <c r="D357" s="43"/>
      <c r="E357" s="518"/>
      <c r="F357" s="284">
        <v>59</v>
      </c>
      <c r="G357" s="41"/>
      <c r="H357" s="284">
        <v>485</v>
      </c>
      <c r="I357" s="243" t="s">
        <v>626</v>
      </c>
      <c r="J357" s="51">
        <v>20000000</v>
      </c>
      <c r="K357" s="51"/>
      <c r="L357" s="51">
        <f t="shared" si="27"/>
        <v>20000000</v>
      </c>
    </row>
    <row r="358" spans="1:14" x14ac:dyDescent="0.2">
      <c r="A358" s="476"/>
      <c r="B358" s="43"/>
      <c r="D358" s="476"/>
      <c r="E358" s="518"/>
      <c r="F358" s="284">
        <v>60</v>
      </c>
      <c r="G358" s="41"/>
      <c r="H358" s="284">
        <v>511</v>
      </c>
      <c r="I358" s="194" t="s">
        <v>20</v>
      </c>
      <c r="J358" s="51">
        <f>30910000+120000+500000+600000+600000</f>
        <v>32730000</v>
      </c>
      <c r="K358" s="51"/>
      <c r="L358" s="51">
        <f t="shared" si="27"/>
        <v>32730000</v>
      </c>
      <c r="N358" s="970"/>
    </row>
    <row r="359" spans="1:14" x14ac:dyDescent="0.2">
      <c r="A359" s="476"/>
      <c r="B359" s="43"/>
      <c r="D359" s="476"/>
      <c r="E359" s="518"/>
      <c r="F359" s="284">
        <v>61</v>
      </c>
      <c r="G359" s="41"/>
      <c r="H359" s="284">
        <v>512</v>
      </c>
      <c r="I359" s="194" t="s">
        <v>51</v>
      </c>
      <c r="J359" s="51">
        <v>25100000</v>
      </c>
      <c r="K359" s="51"/>
      <c r="L359" s="51">
        <f t="shared" si="27"/>
        <v>25100000</v>
      </c>
    </row>
    <row r="360" spans="1:14" x14ac:dyDescent="0.2">
      <c r="A360" s="476"/>
      <c r="B360" s="43"/>
      <c r="D360" s="476"/>
      <c r="E360" s="518"/>
      <c r="F360" s="284">
        <v>62</v>
      </c>
      <c r="G360" s="41"/>
      <c r="H360" s="284">
        <v>515</v>
      </c>
      <c r="I360" s="194" t="s">
        <v>23</v>
      </c>
      <c r="J360" s="51">
        <v>700000</v>
      </c>
      <c r="K360" s="51"/>
      <c r="L360" s="51">
        <f t="shared" si="27"/>
        <v>700000</v>
      </c>
    </row>
    <row r="361" spans="1:14" x14ac:dyDescent="0.2">
      <c r="A361" s="476"/>
      <c r="B361" s="43"/>
      <c r="D361" s="476"/>
      <c r="E361" s="518"/>
      <c r="F361" s="284">
        <v>63</v>
      </c>
      <c r="G361" s="41"/>
      <c r="H361" s="284">
        <v>541</v>
      </c>
      <c r="I361" s="194" t="s">
        <v>25</v>
      </c>
      <c r="J361" s="56">
        <v>72000000</v>
      </c>
      <c r="K361" s="51"/>
      <c r="L361" s="51">
        <f t="shared" si="27"/>
        <v>72000000</v>
      </c>
    </row>
    <row r="362" spans="1:14" x14ac:dyDescent="0.2">
      <c r="A362" s="476"/>
      <c r="B362" s="43"/>
      <c r="D362" s="476"/>
      <c r="E362" s="518"/>
      <c r="F362" s="284">
        <v>64</v>
      </c>
      <c r="G362" s="41"/>
      <c r="H362" s="284">
        <v>621</v>
      </c>
      <c r="I362" s="194" t="s">
        <v>26</v>
      </c>
      <c r="J362" s="51">
        <v>100000</v>
      </c>
      <c r="K362" s="51"/>
      <c r="L362" s="51">
        <f t="shared" si="27"/>
        <v>100000</v>
      </c>
    </row>
    <row r="363" spans="1:14" x14ac:dyDescent="0.2">
      <c r="A363" s="476"/>
      <c r="B363" s="43"/>
      <c r="D363" s="476"/>
      <c r="E363" s="518"/>
      <c r="F363" s="284"/>
      <c r="G363" s="41"/>
      <c r="H363" s="284"/>
      <c r="I363" s="202" t="s">
        <v>600</v>
      </c>
      <c r="J363" s="52">
        <f>SUM(J340:J362)</f>
        <v>538146659.18000007</v>
      </c>
      <c r="K363" s="52"/>
      <c r="L363" s="52">
        <f t="shared" ref="L363" si="28">SUM(L340:L362)</f>
        <v>538146659.18000007</v>
      </c>
    </row>
    <row r="364" spans="1:14" x14ac:dyDescent="0.2">
      <c r="A364" s="476"/>
      <c r="B364" s="43"/>
      <c r="D364" s="476"/>
      <c r="E364" s="518"/>
      <c r="F364" s="284"/>
      <c r="G364" s="47" t="s">
        <v>37</v>
      </c>
      <c r="H364" s="286"/>
      <c r="I364" s="194" t="s">
        <v>38</v>
      </c>
      <c r="J364" s="51">
        <f>SUM(J363-J365-J366)</f>
        <v>419345659.18000007</v>
      </c>
      <c r="K364" s="51"/>
      <c r="L364" s="51">
        <f>SUM(J364+K364)</f>
        <v>419345659.18000007</v>
      </c>
    </row>
    <row r="365" spans="1:14" x14ac:dyDescent="0.2">
      <c r="A365" s="476"/>
      <c r="B365" s="43"/>
      <c r="D365" s="476"/>
      <c r="E365" s="518"/>
      <c r="F365" s="284"/>
      <c r="G365" s="47" t="s">
        <v>113</v>
      </c>
      <c r="H365" s="286"/>
      <c r="I365" s="194" t="s">
        <v>280</v>
      </c>
      <c r="J365" s="51">
        <v>1000</v>
      </c>
      <c r="K365" s="51"/>
      <c r="L365" s="51">
        <f>SUM(J365+K365)</f>
        <v>1000</v>
      </c>
    </row>
    <row r="366" spans="1:14" x14ac:dyDescent="0.2">
      <c r="A366" s="476"/>
      <c r="B366" s="43"/>
      <c r="D366" s="476"/>
      <c r="E366" s="518"/>
      <c r="F366" s="284"/>
      <c r="G366" s="47" t="s">
        <v>1081</v>
      </c>
      <c r="H366" s="286"/>
      <c r="I366" s="209" t="s">
        <v>1082</v>
      </c>
      <c r="J366" s="51">
        <v>118800000</v>
      </c>
      <c r="K366" s="51"/>
      <c r="L366" s="51">
        <f>SUM(J366+K366)</f>
        <v>118800000</v>
      </c>
    </row>
    <row r="367" spans="1:14" x14ac:dyDescent="0.2">
      <c r="A367" s="476"/>
      <c r="B367" s="43"/>
      <c r="D367" s="476"/>
      <c r="E367" s="518"/>
      <c r="F367" s="284"/>
      <c r="G367" s="41"/>
      <c r="H367" s="285"/>
      <c r="I367" s="102" t="s">
        <v>600</v>
      </c>
      <c r="J367" s="52">
        <f>SUM(J363)</f>
        <v>538146659.18000007</v>
      </c>
      <c r="K367" s="52"/>
      <c r="L367" s="52">
        <f>SUM(J367:K367)</f>
        <v>538146659.18000007</v>
      </c>
    </row>
    <row r="368" spans="1:14" x14ac:dyDescent="0.2">
      <c r="A368" s="476"/>
      <c r="B368" s="43"/>
      <c r="D368" s="476"/>
      <c r="E368" s="518"/>
      <c r="F368" s="284"/>
      <c r="G368" s="41"/>
      <c r="H368" s="285"/>
      <c r="I368" s="242"/>
      <c r="J368" s="27"/>
      <c r="K368" s="27"/>
      <c r="L368" s="27"/>
    </row>
    <row r="369" spans="1:15" x14ac:dyDescent="0.2">
      <c r="A369" s="476"/>
      <c r="B369" s="43"/>
      <c r="D369" s="476"/>
      <c r="E369" s="519" t="s">
        <v>689</v>
      </c>
      <c r="F369" s="404"/>
      <c r="G369" s="302"/>
      <c r="H369" s="419"/>
      <c r="I369" s="734" t="s">
        <v>274</v>
      </c>
      <c r="J369" s="1148"/>
      <c r="K369" s="1149"/>
      <c r="L369" s="1150"/>
    </row>
    <row r="370" spans="1:15" x14ac:dyDescent="0.2">
      <c r="C370" s="43">
        <v>170</v>
      </c>
      <c r="D370" s="43"/>
      <c r="E370" s="519"/>
      <c r="F370" s="404"/>
      <c r="G370" s="302"/>
      <c r="H370" s="419"/>
      <c r="I370" s="735" t="s">
        <v>690</v>
      </c>
      <c r="J370" s="1151"/>
      <c r="K370" s="1152"/>
      <c r="L370" s="1153"/>
    </row>
    <row r="371" spans="1:15" x14ac:dyDescent="0.2">
      <c r="D371" s="43"/>
      <c r="E371" s="518"/>
      <c r="F371" s="284">
        <v>65</v>
      </c>
      <c r="G371" s="41"/>
      <c r="H371" s="285" t="s">
        <v>650</v>
      </c>
      <c r="I371" s="257" t="s">
        <v>13</v>
      </c>
      <c r="J371" s="51">
        <v>6500000</v>
      </c>
      <c r="K371" s="174"/>
      <c r="L371" s="51">
        <f>SUM(J371:K371)</f>
        <v>6500000</v>
      </c>
    </row>
    <row r="372" spans="1:15" x14ac:dyDescent="0.2">
      <c r="D372" s="43"/>
      <c r="E372" s="518"/>
      <c r="F372" s="284">
        <v>66</v>
      </c>
      <c r="G372" s="41"/>
      <c r="H372" s="285" t="s">
        <v>651</v>
      </c>
      <c r="I372" s="248" t="s">
        <v>14</v>
      </c>
      <c r="J372" s="51">
        <v>50000</v>
      </c>
      <c r="K372" s="174"/>
      <c r="L372" s="51">
        <f t="shared" ref="L372" si="29">SUM(J372:K372)</f>
        <v>50000</v>
      </c>
    </row>
    <row r="373" spans="1:15" x14ac:dyDescent="0.2">
      <c r="D373" s="43"/>
      <c r="E373" s="518"/>
      <c r="F373" s="284"/>
      <c r="G373" s="41"/>
      <c r="H373" s="420"/>
      <c r="I373" s="202" t="s">
        <v>691</v>
      </c>
      <c r="J373" s="174">
        <f>SUM(J371:J372)</f>
        <v>6550000</v>
      </c>
      <c r="K373" s="174"/>
      <c r="L373" s="174">
        <f>SUM(J373:K373)</f>
        <v>6550000</v>
      </c>
    </row>
    <row r="374" spans="1:15" ht="15" x14ac:dyDescent="0.25">
      <c r="D374" s="43"/>
      <c r="E374" s="518"/>
      <c r="F374" s="284"/>
      <c r="G374" s="47" t="s">
        <v>37</v>
      </c>
      <c r="H374" s="288"/>
      <c r="I374" s="194" t="s">
        <v>38</v>
      </c>
      <c r="J374" s="46">
        <f>SUM(J373)</f>
        <v>6550000</v>
      </c>
      <c r="K374" s="174"/>
      <c r="L374" s="51">
        <f>SUM(J374:K374)</f>
        <v>6550000</v>
      </c>
    </row>
    <row r="375" spans="1:15" x14ac:dyDescent="0.2">
      <c r="A375" s="476"/>
      <c r="B375" s="43"/>
      <c r="D375" s="476"/>
      <c r="E375" s="518"/>
      <c r="F375" s="284"/>
      <c r="G375" s="41"/>
      <c r="H375" s="432"/>
      <c r="I375" s="17"/>
      <c r="J375" s="167"/>
      <c r="K375" s="167"/>
      <c r="L375" s="167"/>
    </row>
    <row r="376" spans="1:15" x14ac:dyDescent="0.2">
      <c r="A376" s="476"/>
      <c r="B376" s="43"/>
      <c r="C376" s="160">
        <v>130</v>
      </c>
      <c r="D376" s="474"/>
      <c r="E376" s="520" t="s">
        <v>239</v>
      </c>
      <c r="F376" s="405"/>
      <c r="G376" s="305"/>
      <c r="H376" s="421"/>
      <c r="I376" s="306" t="s">
        <v>933</v>
      </c>
      <c r="J376" s="167"/>
      <c r="K376" s="167"/>
      <c r="L376" s="167"/>
    </row>
    <row r="377" spans="1:15" x14ac:dyDescent="0.2">
      <c r="A377" s="476"/>
      <c r="B377" s="43"/>
      <c r="C377" s="160"/>
      <c r="D377" s="474"/>
      <c r="E377" s="518"/>
      <c r="F377" s="292">
        <v>67</v>
      </c>
      <c r="G377" s="70"/>
      <c r="H377" s="292">
        <v>512</v>
      </c>
      <c r="I377" s="248" t="s">
        <v>51</v>
      </c>
      <c r="J377" s="974">
        <f>4053235.2+2837265</f>
        <v>6890500.2000000002</v>
      </c>
      <c r="K377" s="974"/>
      <c r="L377" s="974">
        <f t="shared" ref="L377" si="30">SUM(J377+K377)</f>
        <v>6890500.2000000002</v>
      </c>
      <c r="N377" s="845"/>
    </row>
    <row r="378" spans="1:15" x14ac:dyDescent="0.2">
      <c r="A378" s="476"/>
      <c r="B378" s="43"/>
      <c r="C378" s="160"/>
      <c r="D378" s="474"/>
      <c r="E378" s="518"/>
      <c r="F378" s="292"/>
      <c r="G378" s="70"/>
      <c r="H378" s="292"/>
      <c r="I378" s="258" t="s">
        <v>742</v>
      </c>
      <c r="J378" s="975">
        <f>SUM(J377)</f>
        <v>6890500.2000000002</v>
      </c>
      <c r="K378" s="975"/>
      <c r="L378" s="976">
        <f>SUM(J378:K378)</f>
        <v>6890500.2000000002</v>
      </c>
    </row>
    <row r="379" spans="1:15" ht="15" x14ac:dyDescent="0.25">
      <c r="A379" s="476"/>
      <c r="B379" s="43"/>
      <c r="C379" s="160"/>
      <c r="D379" s="474"/>
      <c r="E379" s="518"/>
      <c r="F379" s="292"/>
      <c r="G379" s="291" t="s">
        <v>37</v>
      </c>
      <c r="H379" s="290"/>
      <c r="I379" s="248" t="s">
        <v>38</v>
      </c>
      <c r="J379" s="842">
        <f>SUM(J378-J380)</f>
        <v>4052235.2</v>
      </c>
      <c r="K379" s="842"/>
      <c r="L379" s="842">
        <f>SUM(J379+K379)</f>
        <v>4052235.2</v>
      </c>
    </row>
    <row r="380" spans="1:15" ht="15" x14ac:dyDescent="0.25">
      <c r="A380" s="476"/>
      <c r="B380" s="43"/>
      <c r="C380" s="160"/>
      <c r="D380" s="474"/>
      <c r="E380" s="518"/>
      <c r="F380" s="292"/>
      <c r="G380" s="291" t="s">
        <v>113</v>
      </c>
      <c r="H380" s="290"/>
      <c r="I380" s="248" t="s">
        <v>280</v>
      </c>
      <c r="J380" s="842">
        <v>2838265</v>
      </c>
      <c r="K380" s="842"/>
      <c r="L380" s="842">
        <f>SUM(J380+K380)</f>
        <v>2838265</v>
      </c>
      <c r="N380" s="140"/>
      <c r="O380" s="140"/>
    </row>
    <row r="381" spans="1:15" x14ac:dyDescent="0.2">
      <c r="D381" s="43"/>
      <c r="E381" s="518"/>
      <c r="F381" s="284"/>
      <c r="G381" s="41"/>
      <c r="H381" s="285"/>
      <c r="I381" s="24"/>
      <c r="J381" s="167"/>
      <c r="K381" s="167"/>
      <c r="L381" s="167"/>
      <c r="N381" s="140"/>
      <c r="O381" s="140"/>
    </row>
    <row r="382" spans="1:15" ht="22.5" x14ac:dyDescent="0.2">
      <c r="A382" s="476"/>
      <c r="B382" s="43"/>
      <c r="C382" s="160">
        <v>620</v>
      </c>
      <c r="D382" s="476"/>
      <c r="E382" s="520" t="s">
        <v>239</v>
      </c>
      <c r="F382" s="358"/>
      <c r="G382" s="307"/>
      <c r="H382" s="790"/>
      <c r="I382" s="791" t="s">
        <v>932</v>
      </c>
      <c r="J382" s="299"/>
      <c r="K382" s="299"/>
      <c r="L382" s="49"/>
      <c r="N382" s="140"/>
      <c r="O382" s="140"/>
    </row>
    <row r="383" spans="1:15" x14ac:dyDescent="0.2">
      <c r="A383" s="476"/>
      <c r="B383" s="43"/>
      <c r="C383" s="160"/>
      <c r="D383" s="476"/>
      <c r="E383" s="563"/>
      <c r="F383" s="792" t="s">
        <v>1000</v>
      </c>
      <c r="G383" s="793"/>
      <c r="H383" s="794" t="s">
        <v>46</v>
      </c>
      <c r="I383" s="795" t="s">
        <v>421</v>
      </c>
      <c r="J383" s="847">
        <v>200000</v>
      </c>
      <c r="K383" s="848"/>
      <c r="L383" s="849">
        <f t="shared" ref="L383:L384" si="31">SUM(J383+K383)</f>
        <v>200000</v>
      </c>
      <c r="N383" s="140"/>
      <c r="O383" s="140"/>
    </row>
    <row r="384" spans="1:15" x14ac:dyDescent="0.2">
      <c r="A384" s="476"/>
      <c r="B384" s="43"/>
      <c r="D384" s="476"/>
      <c r="E384" s="518"/>
      <c r="F384" s="284">
        <v>68</v>
      </c>
      <c r="G384" s="41"/>
      <c r="H384" s="284">
        <v>511</v>
      </c>
      <c r="I384" s="248" t="s">
        <v>20</v>
      </c>
      <c r="J384" s="842">
        <v>2180000</v>
      </c>
      <c r="K384" s="842"/>
      <c r="L384" s="842">
        <f t="shared" si="31"/>
        <v>2180000</v>
      </c>
      <c r="N384" s="846"/>
      <c r="O384" s="140"/>
    </row>
    <row r="385" spans="1:15" x14ac:dyDescent="0.2">
      <c r="A385" s="476"/>
      <c r="B385" s="43"/>
      <c r="D385" s="476"/>
      <c r="E385" s="518"/>
      <c r="F385" s="284"/>
      <c r="G385" s="41"/>
      <c r="H385" s="284"/>
      <c r="I385" s="259" t="s">
        <v>742</v>
      </c>
      <c r="J385" s="850">
        <f>SUM(J383:J384)</f>
        <v>2380000</v>
      </c>
      <c r="K385" s="850"/>
      <c r="L385" s="850">
        <f>SUM(J385:K385)</f>
        <v>2380000</v>
      </c>
      <c r="N385" s="140"/>
      <c r="O385" s="140"/>
    </row>
    <row r="386" spans="1:15" ht="15" x14ac:dyDescent="0.25">
      <c r="A386" s="476"/>
      <c r="B386" s="43"/>
      <c r="D386" s="476"/>
      <c r="E386" s="518"/>
      <c r="F386" s="284"/>
      <c r="G386" s="47" t="s">
        <v>37</v>
      </c>
      <c r="H386" s="288"/>
      <c r="I386" s="194" t="s">
        <v>38</v>
      </c>
      <c r="J386" s="842">
        <f>SUM(J385)</f>
        <v>2380000</v>
      </c>
      <c r="K386" s="842"/>
      <c r="L386" s="842">
        <f>SUM(J386+K386)</f>
        <v>2380000</v>
      </c>
      <c r="N386" s="140"/>
      <c r="O386" s="140"/>
    </row>
    <row r="387" spans="1:15" x14ac:dyDescent="0.2">
      <c r="D387" s="43"/>
      <c r="E387" s="518"/>
      <c r="F387" s="284"/>
      <c r="G387" s="41"/>
      <c r="H387" s="285"/>
      <c r="I387" s="24"/>
      <c r="J387" s="27"/>
      <c r="K387" s="27"/>
      <c r="L387" s="27"/>
      <c r="N387" s="140"/>
      <c r="O387" s="140"/>
    </row>
    <row r="388" spans="1:15" ht="22.5" x14ac:dyDescent="0.2">
      <c r="C388" s="43">
        <v>620</v>
      </c>
      <c r="D388" s="43"/>
      <c r="E388" s="520" t="s">
        <v>239</v>
      </c>
      <c r="F388" s="358"/>
      <c r="G388" s="307"/>
      <c r="H388" s="360"/>
      <c r="I388" s="309" t="s">
        <v>931</v>
      </c>
      <c r="J388" s="310"/>
      <c r="K388" s="310"/>
      <c r="L388" s="311"/>
      <c r="N388" s="140"/>
      <c r="O388" s="140"/>
    </row>
    <row r="389" spans="1:15" x14ac:dyDescent="0.2">
      <c r="D389" s="43"/>
      <c r="E389" s="518"/>
      <c r="F389" s="284">
        <v>69</v>
      </c>
      <c r="G389" s="41"/>
      <c r="H389" s="285" t="s">
        <v>270</v>
      </c>
      <c r="I389" s="248" t="s">
        <v>20</v>
      </c>
      <c r="J389" s="956">
        <v>1</v>
      </c>
      <c r="K389" s="957"/>
      <c r="L389" s="956">
        <f t="shared" ref="L389:L390" si="32">SUM(J389:K389)</f>
        <v>1</v>
      </c>
      <c r="N389" s="140"/>
      <c r="O389" s="140"/>
    </row>
    <row r="390" spans="1:15" x14ac:dyDescent="0.2">
      <c r="D390" s="43"/>
      <c r="E390" s="518"/>
      <c r="F390" s="284">
        <v>70</v>
      </c>
      <c r="G390" s="41"/>
      <c r="H390" s="285" t="s">
        <v>570</v>
      </c>
      <c r="I390" s="248" t="s">
        <v>51</v>
      </c>
      <c r="J390" s="956">
        <v>1</v>
      </c>
      <c r="K390" s="957"/>
      <c r="L390" s="956">
        <f t="shared" si="32"/>
        <v>1</v>
      </c>
      <c r="N390" s="846"/>
      <c r="O390" s="140"/>
    </row>
    <row r="391" spans="1:15" x14ac:dyDescent="0.2">
      <c r="D391" s="43"/>
      <c r="E391" s="518"/>
      <c r="F391" s="284"/>
      <c r="G391" s="41"/>
      <c r="H391" s="420"/>
      <c r="I391" s="208" t="s">
        <v>742</v>
      </c>
      <c r="J391" s="957">
        <f>SUM(J389:J390)</f>
        <v>2</v>
      </c>
      <c r="K391" s="957"/>
      <c r="L391" s="957">
        <f>SUM(J391:K391)</f>
        <v>2</v>
      </c>
      <c r="N391" s="140"/>
      <c r="O391" s="140"/>
    </row>
    <row r="392" spans="1:15" ht="15" x14ac:dyDescent="0.25">
      <c r="D392" s="43"/>
      <c r="E392" s="518"/>
      <c r="F392" s="284"/>
      <c r="G392" s="47" t="s">
        <v>37</v>
      </c>
      <c r="H392" s="288"/>
      <c r="I392" s="194" t="s">
        <v>38</v>
      </c>
      <c r="J392" s="956">
        <f>SUM(J391)</f>
        <v>2</v>
      </c>
      <c r="K392" s="957"/>
      <c r="L392" s="956">
        <f>SUM(J392:K392)</f>
        <v>2</v>
      </c>
      <c r="N392" s="140"/>
      <c r="O392" s="140"/>
    </row>
    <row r="393" spans="1:15" ht="15" x14ac:dyDescent="0.25">
      <c r="A393" s="463"/>
      <c r="B393" s="463"/>
      <c r="C393" s="469"/>
      <c r="D393" s="463"/>
      <c r="E393" s="523"/>
      <c r="F393" s="744"/>
      <c r="G393" s="283"/>
      <c r="H393" s="288"/>
      <c r="I393" s="119"/>
      <c r="J393" s="166"/>
      <c r="K393" s="166"/>
      <c r="L393" s="166"/>
      <c r="N393" s="140"/>
      <c r="O393" s="140"/>
    </row>
    <row r="394" spans="1:15" ht="22.5" x14ac:dyDescent="0.2">
      <c r="C394" s="43">
        <v>620</v>
      </c>
      <c r="D394" s="43"/>
      <c r="E394" s="520" t="s">
        <v>239</v>
      </c>
      <c r="F394" s="358"/>
      <c r="G394" s="307"/>
      <c r="H394" s="360"/>
      <c r="I394" s="309" t="s">
        <v>930</v>
      </c>
      <c r="J394" s="310"/>
      <c r="K394" s="310"/>
      <c r="L394" s="311"/>
      <c r="N394" s="140"/>
      <c r="O394" s="140"/>
    </row>
    <row r="395" spans="1:15" x14ac:dyDescent="0.2">
      <c r="D395" s="43"/>
      <c r="E395" s="518"/>
      <c r="F395" s="284">
        <v>71</v>
      </c>
      <c r="G395" s="41"/>
      <c r="H395" s="285" t="s">
        <v>80</v>
      </c>
      <c r="I395" s="248" t="s">
        <v>9</v>
      </c>
      <c r="J395" s="51">
        <v>10000000</v>
      </c>
      <c r="K395" s="174"/>
      <c r="L395" s="51">
        <f t="shared" ref="L395" si="33">SUM(J395:K395)</f>
        <v>10000000</v>
      </c>
      <c r="N395" s="140"/>
      <c r="O395" s="140"/>
    </row>
    <row r="396" spans="1:15" x14ac:dyDescent="0.2">
      <c r="D396" s="43"/>
      <c r="E396" s="518"/>
      <c r="F396" s="284"/>
      <c r="G396" s="41"/>
      <c r="H396" s="420"/>
      <c r="I396" s="208" t="s">
        <v>887</v>
      </c>
      <c r="J396" s="174">
        <f>SUM(J395:J395)</f>
        <v>10000000</v>
      </c>
      <c r="K396" s="174"/>
      <c r="L396" s="174">
        <f>SUM(J396:K396)</f>
        <v>10000000</v>
      </c>
      <c r="N396" s="140"/>
      <c r="O396" s="140"/>
    </row>
    <row r="397" spans="1:15" ht="15" x14ac:dyDescent="0.25">
      <c r="D397" s="43"/>
      <c r="E397" s="518"/>
      <c r="F397" s="284"/>
      <c r="G397" s="47" t="s">
        <v>37</v>
      </c>
      <c r="H397" s="288"/>
      <c r="I397" s="194" t="s">
        <v>38</v>
      </c>
      <c r="J397" s="46">
        <f>SUM(J396)</f>
        <v>10000000</v>
      </c>
      <c r="K397" s="174"/>
      <c r="L397" s="51">
        <f>SUM(J397:K397)</f>
        <v>10000000</v>
      </c>
      <c r="N397" s="140"/>
      <c r="O397" s="140"/>
    </row>
    <row r="398" spans="1:15" ht="15" x14ac:dyDescent="0.25">
      <c r="D398" s="43"/>
      <c r="E398" s="518"/>
      <c r="F398" s="284"/>
      <c r="G398" s="47"/>
      <c r="H398" s="288"/>
      <c r="I398" s="209"/>
      <c r="J398" s="329"/>
      <c r="K398" s="331"/>
      <c r="L398" s="192"/>
      <c r="N398" s="140"/>
      <c r="O398" s="140"/>
    </row>
    <row r="399" spans="1:15" ht="22.5" x14ac:dyDescent="0.2">
      <c r="B399" s="43"/>
      <c r="C399" s="43">
        <v>620</v>
      </c>
      <c r="D399" s="476"/>
      <c r="E399" s="520" t="s">
        <v>239</v>
      </c>
      <c r="F399" s="358"/>
      <c r="G399" s="307"/>
      <c r="H399" s="358"/>
      <c r="I399" s="312" t="s">
        <v>900</v>
      </c>
      <c r="J399" s="232"/>
      <c r="K399" s="71"/>
      <c r="L399" s="233"/>
      <c r="N399" s="140"/>
      <c r="O399" s="140"/>
    </row>
    <row r="400" spans="1:15" x14ac:dyDescent="0.2">
      <c r="B400" s="43"/>
      <c r="D400" s="476"/>
      <c r="E400" s="521"/>
      <c r="F400" s="792" t="s">
        <v>1001</v>
      </c>
      <c r="G400" s="793"/>
      <c r="H400" s="794" t="s">
        <v>46</v>
      </c>
      <c r="I400" s="798" t="s">
        <v>421</v>
      </c>
      <c r="J400" s="849">
        <v>200000</v>
      </c>
      <c r="K400" s="848"/>
      <c r="L400" s="849">
        <f>SUM(J400:K400)</f>
        <v>200000</v>
      </c>
      <c r="N400" s="140"/>
      <c r="O400" s="140"/>
    </row>
    <row r="401" spans="1:15" x14ac:dyDescent="0.2">
      <c r="B401" s="43"/>
      <c r="D401" s="476"/>
      <c r="E401" s="518"/>
      <c r="F401" s="284">
        <v>72</v>
      </c>
      <c r="G401" s="41"/>
      <c r="H401" s="285" t="s">
        <v>270</v>
      </c>
      <c r="I401" s="194" t="s">
        <v>20</v>
      </c>
      <c r="J401" s="851">
        <v>7600000</v>
      </c>
      <c r="K401" s="842"/>
      <c r="L401" s="842">
        <f>SUM(J401:K401)</f>
        <v>7600000</v>
      </c>
      <c r="N401" s="846"/>
      <c r="O401" s="140"/>
    </row>
    <row r="402" spans="1:15" x14ac:dyDescent="0.2">
      <c r="B402" s="43"/>
      <c r="D402" s="476"/>
      <c r="E402" s="518"/>
      <c r="F402" s="284"/>
      <c r="G402" s="47" t="s">
        <v>37</v>
      </c>
      <c r="H402" s="286"/>
      <c r="I402" s="194" t="s">
        <v>38</v>
      </c>
      <c r="J402" s="851">
        <f>SUM(J400:J401)</f>
        <v>7800000</v>
      </c>
      <c r="K402" s="850"/>
      <c r="L402" s="842">
        <f>SUM(J402:K402)</f>
        <v>7800000</v>
      </c>
      <c r="N402" s="140"/>
      <c r="O402" s="140"/>
    </row>
    <row r="403" spans="1:15" x14ac:dyDescent="0.2">
      <c r="B403" s="43"/>
      <c r="D403" s="476"/>
      <c r="E403" s="518"/>
      <c r="F403" s="284"/>
      <c r="G403" s="41"/>
      <c r="H403" s="285"/>
      <c r="I403" s="202" t="s">
        <v>710</v>
      </c>
      <c r="J403" s="852">
        <f>SUM(J402)</f>
        <v>7800000</v>
      </c>
      <c r="K403" s="850"/>
      <c r="L403" s="850">
        <f>SUM(J402:K402)</f>
        <v>7800000</v>
      </c>
      <c r="N403" s="140"/>
      <c r="O403" s="140"/>
    </row>
    <row r="404" spans="1:15" ht="15" x14ac:dyDescent="0.25">
      <c r="D404" s="43"/>
      <c r="E404" s="518"/>
      <c r="F404" s="284"/>
      <c r="G404" s="47"/>
      <c r="H404" s="288"/>
      <c r="I404" s="209"/>
      <c r="J404" s="329"/>
      <c r="K404" s="331"/>
      <c r="L404" s="192"/>
      <c r="N404" s="140"/>
      <c r="O404" s="140"/>
    </row>
    <row r="405" spans="1:15" ht="15" x14ac:dyDescent="0.2">
      <c r="A405" s="476"/>
      <c r="B405" s="43"/>
      <c r="C405" s="635">
        <v>940</v>
      </c>
      <c r="D405" s="43"/>
      <c r="E405" s="518"/>
      <c r="F405" s="284"/>
      <c r="G405" s="41"/>
      <c r="H405" s="284"/>
      <c r="I405" s="260" t="s">
        <v>78</v>
      </c>
      <c r="J405" s="329"/>
      <c r="K405" s="329"/>
      <c r="L405" s="330"/>
    </row>
    <row r="406" spans="1:15" ht="15" x14ac:dyDescent="0.2">
      <c r="A406" s="476"/>
      <c r="B406" s="43"/>
      <c r="C406" s="635"/>
      <c r="D406" s="43"/>
      <c r="E406" s="518"/>
      <c r="F406" s="284"/>
      <c r="G406" s="41"/>
      <c r="H406" s="284"/>
      <c r="I406" s="206"/>
      <c r="J406" s="223"/>
      <c r="K406" s="223"/>
      <c r="L406" s="224"/>
    </row>
    <row r="407" spans="1:15" ht="15" x14ac:dyDescent="0.2">
      <c r="A407" s="476"/>
      <c r="B407" s="43"/>
      <c r="C407" s="403"/>
      <c r="D407" s="43"/>
      <c r="E407" s="520" t="s">
        <v>239</v>
      </c>
      <c r="F407" s="358"/>
      <c r="G407" s="307"/>
      <c r="H407" s="358"/>
      <c r="I407" s="359" t="s">
        <v>929</v>
      </c>
      <c r="J407" s="299"/>
      <c r="K407" s="299"/>
      <c r="L407" s="49"/>
    </row>
    <row r="408" spans="1:15" ht="15" x14ac:dyDescent="0.2">
      <c r="A408" s="476"/>
      <c r="B408" s="43"/>
      <c r="C408" s="403"/>
      <c r="D408" s="43"/>
      <c r="E408" s="518"/>
      <c r="F408" s="284">
        <v>73</v>
      </c>
      <c r="G408" s="41"/>
      <c r="H408" s="284">
        <v>472</v>
      </c>
      <c r="I408" s="194" t="s">
        <v>219</v>
      </c>
      <c r="J408" s="195">
        <v>19500000</v>
      </c>
      <c r="K408" s="51"/>
      <c r="L408" s="51">
        <f>SUM(J408+K408)</f>
        <v>19500000</v>
      </c>
    </row>
    <row r="409" spans="1:15" ht="15" x14ac:dyDescent="0.2">
      <c r="A409" s="476"/>
      <c r="B409" s="43"/>
      <c r="C409" s="403"/>
      <c r="D409" s="43"/>
      <c r="E409" s="518"/>
      <c r="F409" s="284">
        <v>74</v>
      </c>
      <c r="G409" s="41"/>
      <c r="H409" s="284">
        <v>472</v>
      </c>
      <c r="I409" s="194" t="s">
        <v>320</v>
      </c>
      <c r="J409" s="51">
        <v>1000000</v>
      </c>
      <c r="K409" s="51"/>
      <c r="L409" s="51">
        <f>SUM(J409+K409)</f>
        <v>1000000</v>
      </c>
    </row>
    <row r="410" spans="1:15" ht="15" x14ac:dyDescent="0.2">
      <c r="A410" s="476"/>
      <c r="B410" s="43"/>
      <c r="C410" s="403"/>
      <c r="E410" s="518"/>
      <c r="F410" s="284"/>
      <c r="G410" s="41"/>
      <c r="H410" s="284"/>
      <c r="I410" s="202" t="s">
        <v>710</v>
      </c>
      <c r="J410" s="52">
        <f>SUM(J408:J409)</f>
        <v>20500000</v>
      </c>
      <c r="K410" s="52"/>
      <c r="L410" s="52">
        <f>SUM(L408:L409)</f>
        <v>20500000</v>
      </c>
    </row>
    <row r="411" spans="1:15" ht="15" x14ac:dyDescent="0.2">
      <c r="A411" s="476"/>
      <c r="B411" s="43"/>
      <c r="C411" s="403"/>
      <c r="D411" s="476"/>
      <c r="E411" s="518"/>
      <c r="F411" s="284"/>
      <c r="G411" s="47" t="s">
        <v>37</v>
      </c>
      <c r="H411" s="286"/>
      <c r="I411" s="194" t="s">
        <v>38</v>
      </c>
      <c r="J411" s="51">
        <f>SUM(J410)-J412</f>
        <v>19500000</v>
      </c>
      <c r="K411" s="51"/>
      <c r="L411" s="51">
        <f>SUM(J411:K411)</f>
        <v>19500000</v>
      </c>
    </row>
    <row r="412" spans="1:15" ht="15" x14ac:dyDescent="0.2">
      <c r="A412" s="476"/>
      <c r="B412" s="43"/>
      <c r="C412" s="403"/>
      <c r="D412" s="476"/>
      <c r="E412" s="518"/>
      <c r="F412" s="284"/>
      <c r="G412" s="47" t="s">
        <v>113</v>
      </c>
      <c r="H412" s="286"/>
      <c r="I412" s="194" t="s">
        <v>280</v>
      </c>
      <c r="J412" s="51">
        <v>1000000</v>
      </c>
      <c r="K412" s="51"/>
      <c r="L412" s="51">
        <f>SUM(J412+K412)</f>
        <v>1000000</v>
      </c>
    </row>
    <row r="413" spans="1:15" ht="15" x14ac:dyDescent="0.2">
      <c r="A413" s="476"/>
      <c r="B413" s="43"/>
      <c r="C413" s="403"/>
      <c r="D413" s="476"/>
      <c r="E413" s="518"/>
      <c r="F413" s="284"/>
      <c r="G413" s="41"/>
      <c r="H413" s="285"/>
      <c r="I413" s="24"/>
      <c r="J413" s="223"/>
      <c r="K413" s="223"/>
      <c r="L413" s="224"/>
    </row>
    <row r="414" spans="1:15" x14ac:dyDescent="0.2">
      <c r="A414" s="476"/>
      <c r="B414" s="43"/>
      <c r="C414" s="636">
        <v>950</v>
      </c>
      <c r="D414" s="43"/>
      <c r="E414" s="518"/>
      <c r="F414" s="284"/>
      <c r="G414" s="41"/>
      <c r="H414" s="285"/>
      <c r="I414" s="211" t="s">
        <v>79</v>
      </c>
      <c r="J414" s="329"/>
      <c r="K414" s="329"/>
      <c r="L414" s="330"/>
    </row>
    <row r="415" spans="1:15" ht="15" x14ac:dyDescent="0.2">
      <c r="A415" s="476"/>
      <c r="B415" s="43"/>
      <c r="C415" s="403"/>
      <c r="D415" s="43"/>
      <c r="E415" s="518"/>
      <c r="F415" s="284"/>
      <c r="G415" s="41"/>
      <c r="H415" s="285"/>
      <c r="I415" s="24"/>
      <c r="J415" s="223"/>
      <c r="K415" s="223"/>
      <c r="L415" s="224"/>
    </row>
    <row r="416" spans="1:15" ht="15" x14ac:dyDescent="0.2">
      <c r="A416" s="476"/>
      <c r="B416" s="43"/>
      <c r="C416" s="403"/>
      <c r="D416" s="43"/>
      <c r="E416" s="520" t="s">
        <v>239</v>
      </c>
      <c r="F416" s="358"/>
      <c r="G416" s="307"/>
      <c r="H416" s="360"/>
      <c r="I416" s="361" t="s">
        <v>926</v>
      </c>
      <c r="J416" s="71"/>
      <c r="K416" s="71"/>
      <c r="L416" s="233"/>
    </row>
    <row r="417" spans="1:12" ht="15" x14ac:dyDescent="0.2">
      <c r="A417" s="476"/>
      <c r="B417" s="43"/>
      <c r="C417" s="403"/>
      <c r="D417" s="43"/>
      <c r="E417" s="518"/>
      <c r="F417" s="284">
        <v>75</v>
      </c>
      <c r="G417" s="41"/>
      <c r="H417" s="285" t="s">
        <v>80</v>
      </c>
      <c r="I417" s="194" t="s">
        <v>81</v>
      </c>
      <c r="J417" s="195">
        <v>6000000</v>
      </c>
      <c r="K417" s="51"/>
      <c r="L417" s="51">
        <f>SUM(J417+K417)</f>
        <v>6000000</v>
      </c>
    </row>
    <row r="418" spans="1:12" ht="15" x14ac:dyDescent="0.2">
      <c r="A418" s="476"/>
      <c r="B418" s="43"/>
      <c r="C418" s="403"/>
      <c r="D418" s="43"/>
      <c r="E418" s="518"/>
      <c r="F418" s="284"/>
      <c r="G418" s="41"/>
      <c r="H418" s="285"/>
      <c r="I418" s="57" t="s">
        <v>927</v>
      </c>
      <c r="J418" s="52">
        <f>SUM(J417)</f>
        <v>6000000</v>
      </c>
      <c r="K418" s="51"/>
      <c r="L418" s="52">
        <f>SUM(L417)</f>
        <v>6000000</v>
      </c>
    </row>
    <row r="419" spans="1:12" ht="15" x14ac:dyDescent="0.2">
      <c r="A419" s="476"/>
      <c r="B419" s="43"/>
      <c r="C419" s="403"/>
      <c r="D419" s="43"/>
      <c r="E419" s="518"/>
      <c r="F419" s="284"/>
      <c r="G419" s="47" t="s">
        <v>37</v>
      </c>
      <c r="H419" s="286"/>
      <c r="I419" s="194" t="s">
        <v>38</v>
      </c>
      <c r="J419" s="195">
        <f>SUM(J417)</f>
        <v>6000000</v>
      </c>
      <c r="K419" s="51"/>
      <c r="L419" s="51">
        <f>SUM(J419+K419)</f>
        <v>6000000</v>
      </c>
    </row>
    <row r="420" spans="1:12" ht="15" x14ac:dyDescent="0.2">
      <c r="A420" s="476"/>
      <c r="B420" s="43"/>
      <c r="C420" s="403"/>
      <c r="D420" s="43"/>
      <c r="E420" s="518"/>
      <c r="F420" s="284"/>
      <c r="G420" s="41"/>
      <c r="H420" s="285"/>
      <c r="I420" s="191"/>
      <c r="J420" s="28"/>
      <c r="K420" s="28"/>
      <c r="L420" s="68"/>
    </row>
    <row r="421" spans="1:12" x14ac:dyDescent="0.2">
      <c r="A421" s="476"/>
      <c r="B421" s="43"/>
      <c r="C421" s="636">
        <v>950</v>
      </c>
      <c r="D421" s="43"/>
      <c r="E421" s="518"/>
      <c r="F421" s="284"/>
      <c r="G421" s="41"/>
      <c r="H421" s="285"/>
      <c r="I421" s="211" t="s">
        <v>79</v>
      </c>
      <c r="J421" s="329"/>
      <c r="K421" s="329"/>
      <c r="L421" s="330"/>
    </row>
    <row r="422" spans="1:12" ht="15" x14ac:dyDescent="0.2">
      <c r="A422" s="476"/>
      <c r="B422" s="43"/>
      <c r="C422" s="403"/>
      <c r="D422" s="43"/>
      <c r="E422" s="518"/>
      <c r="F422" s="284"/>
      <c r="G422" s="41"/>
      <c r="H422" s="285"/>
      <c r="I422" s="24"/>
      <c r="J422" s="28"/>
      <c r="K422" s="28"/>
      <c r="L422" s="68"/>
    </row>
    <row r="423" spans="1:12" ht="15" x14ac:dyDescent="0.2">
      <c r="A423" s="476"/>
      <c r="B423" s="43"/>
      <c r="C423" s="403"/>
      <c r="D423" s="43"/>
      <c r="E423" s="520" t="s">
        <v>239</v>
      </c>
      <c r="F423" s="358"/>
      <c r="G423" s="307"/>
      <c r="H423" s="360"/>
      <c r="I423" s="361" t="s">
        <v>925</v>
      </c>
      <c r="J423" s="71"/>
      <c r="K423" s="71"/>
      <c r="L423" s="233"/>
    </row>
    <row r="424" spans="1:12" ht="15" x14ac:dyDescent="0.2">
      <c r="A424" s="476"/>
      <c r="B424" s="43"/>
      <c r="C424" s="403"/>
      <c r="D424" s="43"/>
      <c r="E424" s="518"/>
      <c r="F424" s="284">
        <v>76</v>
      </c>
      <c r="G424" s="41"/>
      <c r="H424" s="285" t="s">
        <v>80</v>
      </c>
      <c r="I424" s="194" t="s">
        <v>467</v>
      </c>
      <c r="J424" s="195">
        <v>1500000</v>
      </c>
      <c r="K424" s="51"/>
      <c r="L424" s="51">
        <f>SUM(J424+K424)</f>
        <v>1500000</v>
      </c>
    </row>
    <row r="425" spans="1:12" ht="15" x14ac:dyDescent="0.2">
      <c r="A425" s="476"/>
      <c r="B425" s="43"/>
      <c r="C425" s="403"/>
      <c r="D425" s="43"/>
      <c r="E425" s="518"/>
      <c r="F425" s="284"/>
      <c r="G425" s="41"/>
      <c r="H425" s="285"/>
      <c r="I425" s="208" t="s">
        <v>710</v>
      </c>
      <c r="J425" s="52">
        <f>SUM(J424)</f>
        <v>1500000</v>
      </c>
      <c r="K425" s="52"/>
      <c r="L425" s="52">
        <f>SUM(L424)</f>
        <v>1500000</v>
      </c>
    </row>
    <row r="426" spans="1:12" ht="15" x14ac:dyDescent="0.25">
      <c r="A426" s="476"/>
      <c r="B426" s="43"/>
      <c r="C426" s="403"/>
      <c r="D426" s="43"/>
      <c r="E426" s="518"/>
      <c r="F426" s="284"/>
      <c r="G426" s="47" t="s">
        <v>37</v>
      </c>
      <c r="H426" s="288"/>
      <c r="I426" s="194" t="s">
        <v>38</v>
      </c>
      <c r="J426" s="195">
        <f>SUM(J424)</f>
        <v>1500000</v>
      </c>
      <c r="K426" s="51"/>
      <c r="L426" s="51">
        <f>SUM(J426+K426)</f>
        <v>1500000</v>
      </c>
    </row>
    <row r="427" spans="1:12" ht="15" x14ac:dyDescent="0.2">
      <c r="A427" s="476"/>
      <c r="B427" s="43"/>
      <c r="C427" s="403"/>
      <c r="D427" s="43"/>
      <c r="E427" s="518"/>
      <c r="F427" s="284"/>
      <c r="G427" s="41"/>
      <c r="H427" s="285"/>
      <c r="I427" s="222"/>
      <c r="J427" s="27"/>
      <c r="K427" s="27"/>
      <c r="L427" s="27"/>
    </row>
    <row r="428" spans="1:12" ht="15" x14ac:dyDescent="0.2">
      <c r="A428" s="476"/>
      <c r="B428" s="43"/>
      <c r="C428" s="403">
        <v>950</v>
      </c>
      <c r="D428" s="43"/>
      <c r="E428" s="520" t="s">
        <v>239</v>
      </c>
      <c r="F428" s="358"/>
      <c r="G428" s="307"/>
      <c r="H428" s="360"/>
      <c r="I428" s="361" t="s">
        <v>928</v>
      </c>
      <c r="J428" s="71"/>
      <c r="K428" s="71"/>
      <c r="L428" s="233"/>
    </row>
    <row r="429" spans="1:12" ht="15" x14ac:dyDescent="0.2">
      <c r="A429" s="476"/>
      <c r="B429" s="43"/>
      <c r="C429" s="403"/>
      <c r="D429" s="43"/>
      <c r="E429" s="518"/>
      <c r="F429" s="284">
        <v>77</v>
      </c>
      <c r="G429" s="41"/>
      <c r="H429" s="285" t="s">
        <v>415</v>
      </c>
      <c r="I429" s="194" t="s">
        <v>671</v>
      </c>
      <c r="J429" s="195">
        <v>2400000</v>
      </c>
      <c r="K429" s="51"/>
      <c r="L429" s="51">
        <f>SUM(J429+K429)</f>
        <v>2400000</v>
      </c>
    </row>
    <row r="430" spans="1:12" ht="15" x14ac:dyDescent="0.2">
      <c r="A430" s="476"/>
      <c r="B430" s="43"/>
      <c r="C430" s="403"/>
      <c r="D430" s="43"/>
      <c r="E430" s="518"/>
      <c r="F430" s="284"/>
      <c r="G430" s="41"/>
      <c r="H430" s="285"/>
      <c r="I430" s="208" t="s">
        <v>704</v>
      </c>
      <c r="J430" s="52">
        <f>SUM(J429)</f>
        <v>2400000</v>
      </c>
      <c r="K430" s="52"/>
      <c r="L430" s="52">
        <f>SUM(L429)</f>
        <v>2400000</v>
      </c>
    </row>
    <row r="431" spans="1:12" ht="15" x14ac:dyDescent="0.25">
      <c r="A431" s="476"/>
      <c r="B431" s="43"/>
      <c r="C431" s="403"/>
      <c r="D431" s="43"/>
      <c r="E431" s="518"/>
      <c r="F431" s="284"/>
      <c r="G431" s="47" t="s">
        <v>37</v>
      </c>
      <c r="H431" s="288"/>
      <c r="I431" s="194" t="s">
        <v>38</v>
      </c>
      <c r="J431" s="195">
        <f>SUM(J429)</f>
        <v>2400000</v>
      </c>
      <c r="K431" s="51"/>
      <c r="L431" s="51">
        <f>SUM(J431+K431)</f>
        <v>2400000</v>
      </c>
    </row>
    <row r="432" spans="1:12" ht="15" x14ac:dyDescent="0.2">
      <c r="A432" s="476"/>
      <c r="B432" s="43"/>
      <c r="C432" s="403"/>
      <c r="D432" s="43"/>
      <c r="E432" s="518"/>
      <c r="F432" s="284"/>
      <c r="G432" s="41"/>
      <c r="H432" s="285"/>
      <c r="I432" s="197"/>
      <c r="J432" s="28"/>
      <c r="K432" s="28"/>
      <c r="L432" s="68"/>
    </row>
    <row r="433" spans="1:14" x14ac:dyDescent="0.2">
      <c r="A433" s="476"/>
      <c r="B433" s="43"/>
      <c r="C433" s="636">
        <v>950</v>
      </c>
      <c r="D433" s="43"/>
      <c r="E433" s="518"/>
      <c r="F433" s="284"/>
      <c r="G433" s="41"/>
      <c r="H433" s="285"/>
      <c r="I433" s="211" t="s">
        <v>79</v>
      </c>
      <c r="J433" s="67"/>
      <c r="K433" s="67"/>
      <c r="L433" s="192"/>
    </row>
    <row r="434" spans="1:14" ht="15" x14ac:dyDescent="0.2">
      <c r="A434" s="476"/>
      <c r="B434" s="43"/>
      <c r="C434" s="403"/>
      <c r="D434" s="43"/>
      <c r="E434" s="518"/>
      <c r="F434" s="284"/>
      <c r="G434" s="41"/>
      <c r="H434" s="285"/>
      <c r="I434" s="24"/>
      <c r="J434" s="28"/>
      <c r="K434" s="28"/>
      <c r="L434" s="68"/>
    </row>
    <row r="435" spans="1:14" ht="15" x14ac:dyDescent="0.2">
      <c r="A435" s="476"/>
      <c r="B435" s="43"/>
      <c r="C435" s="403"/>
      <c r="D435" s="43"/>
      <c r="E435" s="520" t="s">
        <v>239</v>
      </c>
      <c r="F435" s="358"/>
      <c r="G435" s="307"/>
      <c r="H435" s="360"/>
      <c r="I435" s="359" t="s">
        <v>923</v>
      </c>
      <c r="J435" s="299"/>
      <c r="K435" s="299"/>
      <c r="L435" s="49"/>
    </row>
    <row r="436" spans="1:14" ht="15" x14ac:dyDescent="0.2">
      <c r="A436" s="476"/>
      <c r="B436" s="43"/>
      <c r="C436" s="403"/>
      <c r="D436" s="43"/>
      <c r="E436" s="518"/>
      <c r="F436" s="284">
        <v>78</v>
      </c>
      <c r="G436" s="41"/>
      <c r="H436" s="285" t="s">
        <v>80</v>
      </c>
      <c r="I436" s="194" t="s">
        <v>924</v>
      </c>
      <c r="J436" s="195">
        <v>6000000</v>
      </c>
      <c r="K436" s="51"/>
      <c r="L436" s="51">
        <f>SUM(J436+K436)</f>
        <v>6000000</v>
      </c>
      <c r="N436" s="845"/>
    </row>
    <row r="437" spans="1:14" ht="15" x14ac:dyDescent="0.2">
      <c r="A437" s="476"/>
      <c r="B437" s="43"/>
      <c r="C437" s="403"/>
      <c r="D437" s="43"/>
      <c r="E437" s="518"/>
      <c r="F437" s="284"/>
      <c r="G437" s="41"/>
      <c r="H437" s="285"/>
      <c r="I437" s="208" t="s">
        <v>710</v>
      </c>
      <c r="J437" s="52">
        <f>SUM(J436)</f>
        <v>6000000</v>
      </c>
      <c r="K437" s="52"/>
      <c r="L437" s="52">
        <f>SUM(L436)</f>
        <v>6000000</v>
      </c>
    </row>
    <row r="438" spans="1:14" ht="15" x14ac:dyDescent="0.25">
      <c r="A438" s="476"/>
      <c r="B438" s="43"/>
      <c r="C438" s="403"/>
      <c r="D438" s="43"/>
      <c r="E438" s="518"/>
      <c r="F438" s="284"/>
      <c r="G438" s="47" t="s">
        <v>37</v>
      </c>
      <c r="H438" s="288"/>
      <c r="I438" s="194" t="s">
        <v>38</v>
      </c>
      <c r="J438" s="195">
        <f>SUM(J436)</f>
        <v>6000000</v>
      </c>
      <c r="K438" s="51"/>
      <c r="L438" s="51">
        <f>SUM(J438+K438)</f>
        <v>6000000</v>
      </c>
    </row>
    <row r="439" spans="1:14" ht="15" x14ac:dyDescent="0.2">
      <c r="A439" s="476"/>
      <c r="B439" s="43"/>
      <c r="C439" s="403"/>
      <c r="D439" s="43"/>
      <c r="E439" s="518"/>
      <c r="F439" s="284"/>
      <c r="G439" s="41"/>
      <c r="H439" s="285"/>
      <c r="I439" s="637"/>
      <c r="J439" s="223"/>
      <c r="K439" s="223"/>
      <c r="L439" s="224"/>
    </row>
    <row r="440" spans="1:14" x14ac:dyDescent="0.2">
      <c r="A440" s="476"/>
      <c r="B440" s="43"/>
      <c r="C440" s="636">
        <v>950</v>
      </c>
      <c r="D440" s="43"/>
      <c r="E440" s="518"/>
      <c r="F440" s="284"/>
      <c r="G440" s="41"/>
      <c r="H440" s="285"/>
      <c r="I440" s="211" t="s">
        <v>79</v>
      </c>
      <c r="J440" s="329"/>
      <c r="K440" s="329"/>
      <c r="L440" s="330"/>
    </row>
    <row r="441" spans="1:14" ht="15" x14ac:dyDescent="0.2">
      <c r="A441" s="476"/>
      <c r="B441" s="43"/>
      <c r="C441" s="403"/>
      <c r="D441" s="43"/>
      <c r="E441" s="518"/>
      <c r="F441" s="284"/>
      <c r="G441" s="41"/>
      <c r="H441" s="285"/>
      <c r="I441" s="24"/>
      <c r="J441" s="223"/>
      <c r="K441" s="223"/>
      <c r="L441" s="224"/>
    </row>
    <row r="442" spans="1:14" ht="22.5" x14ac:dyDescent="0.2">
      <c r="A442" s="476"/>
      <c r="B442" s="43"/>
      <c r="C442" s="403"/>
      <c r="D442" s="43"/>
      <c r="E442" s="520" t="s">
        <v>239</v>
      </c>
      <c r="F442" s="358"/>
      <c r="G442" s="307"/>
      <c r="H442" s="360"/>
      <c r="I442" s="362" t="s">
        <v>922</v>
      </c>
      <c r="J442" s="71"/>
      <c r="K442" s="71"/>
      <c r="L442" s="233"/>
    </row>
    <row r="443" spans="1:14" ht="15" x14ac:dyDescent="0.2">
      <c r="A443" s="476"/>
      <c r="B443" s="43"/>
      <c r="C443" s="403"/>
      <c r="D443" s="43"/>
      <c r="E443" s="518"/>
      <c r="F443" s="284">
        <v>79</v>
      </c>
      <c r="G443" s="41"/>
      <c r="H443" s="285" t="s">
        <v>270</v>
      </c>
      <c r="I443" s="194" t="s">
        <v>584</v>
      </c>
      <c r="J443" s="195">
        <v>14800000</v>
      </c>
      <c r="K443" s="51"/>
      <c r="L443" s="51">
        <f>SUM(J443+K443)</f>
        <v>14800000</v>
      </c>
      <c r="N443" s="845"/>
    </row>
    <row r="444" spans="1:14" ht="15" x14ac:dyDescent="0.2">
      <c r="A444" s="476"/>
      <c r="B444" s="43"/>
      <c r="C444" s="403"/>
      <c r="D444" s="43"/>
      <c r="E444" s="518"/>
      <c r="F444" s="284"/>
      <c r="G444" s="41"/>
      <c r="H444" s="285"/>
      <c r="I444" s="196" t="s">
        <v>710</v>
      </c>
      <c r="J444" s="52">
        <f>SUM(J443)</f>
        <v>14800000</v>
      </c>
      <c r="K444" s="52"/>
      <c r="L444" s="52">
        <f>SUM(L443)</f>
        <v>14800000</v>
      </c>
    </row>
    <row r="445" spans="1:14" ht="15" x14ac:dyDescent="0.25">
      <c r="A445" s="476"/>
      <c r="B445" s="43"/>
      <c r="C445" s="403"/>
      <c r="D445" s="43"/>
      <c r="E445" s="518"/>
      <c r="F445" s="284"/>
      <c r="G445" s="47" t="s">
        <v>37</v>
      </c>
      <c r="H445" s="288"/>
      <c r="I445" s="194" t="s">
        <v>38</v>
      </c>
      <c r="J445" s="195">
        <f>SUM(J444-J446)</f>
        <v>4800000</v>
      </c>
      <c r="K445" s="51"/>
      <c r="L445" s="51">
        <f>SUM(J445+K445)</f>
        <v>4800000</v>
      </c>
    </row>
    <row r="446" spans="1:14" ht="15" x14ac:dyDescent="0.25">
      <c r="A446" s="476"/>
      <c r="B446" s="43"/>
      <c r="C446" s="403"/>
      <c r="D446" s="43"/>
      <c r="E446" s="518"/>
      <c r="F446" s="284"/>
      <c r="G446" s="47" t="s">
        <v>589</v>
      </c>
      <c r="H446" s="288"/>
      <c r="I446" s="194" t="s">
        <v>590</v>
      </c>
      <c r="J446" s="195">
        <v>10000000</v>
      </c>
      <c r="K446" s="51"/>
      <c r="L446" s="51">
        <f>SUM(J446+K446)</f>
        <v>10000000</v>
      </c>
    </row>
    <row r="447" spans="1:14" x14ac:dyDescent="0.2">
      <c r="B447" s="43"/>
      <c r="D447" s="476"/>
      <c r="E447" s="518"/>
      <c r="F447" s="292"/>
      <c r="G447" s="70"/>
      <c r="H447" s="289"/>
      <c r="I447" s="637"/>
      <c r="J447" s="237"/>
      <c r="K447" s="167"/>
      <c r="L447" s="300"/>
    </row>
    <row r="448" spans="1:14" x14ac:dyDescent="0.2">
      <c r="A448" s="626"/>
      <c r="B448" s="627"/>
      <c r="C448" s="627"/>
      <c r="D448" s="553" t="s">
        <v>249</v>
      </c>
      <c r="E448" s="554"/>
      <c r="F448" s="638"/>
      <c r="G448" s="628"/>
      <c r="H448" s="629"/>
      <c r="I448" s="630" t="s">
        <v>456</v>
      </c>
      <c r="J448" s="631">
        <f>SUM(J456+J470+J465)</f>
        <v>22748002</v>
      </c>
      <c r="K448" s="631">
        <f t="shared" ref="K448" si="34">SUM(K456+K470+K465)</f>
        <v>0</v>
      </c>
      <c r="L448" s="631">
        <f>SUM(L456+L470+L465)</f>
        <v>22748002</v>
      </c>
    </row>
    <row r="449" spans="1:14" x14ac:dyDescent="0.2">
      <c r="A449" s="582"/>
      <c r="B449" s="583"/>
      <c r="C449" s="583"/>
      <c r="D449" s="562"/>
      <c r="E449" s="563"/>
      <c r="F449" s="407"/>
      <c r="G449" s="294"/>
      <c r="H449" s="584"/>
      <c r="I449" s="239"/>
      <c r="J449" s="27"/>
      <c r="K449" s="28"/>
      <c r="L449" s="53"/>
    </row>
    <row r="450" spans="1:14" x14ac:dyDescent="0.2">
      <c r="A450" s="476"/>
      <c r="B450" s="43"/>
      <c r="D450" s="476"/>
      <c r="E450" s="519"/>
      <c r="F450" s="404"/>
      <c r="G450" s="302"/>
      <c r="H450" s="419"/>
      <c r="I450" s="363" t="s">
        <v>272</v>
      </c>
      <c r="J450" s="364"/>
      <c r="K450" s="364"/>
      <c r="L450" s="304"/>
    </row>
    <row r="451" spans="1:14" x14ac:dyDescent="0.2">
      <c r="A451" s="476"/>
      <c r="B451" s="43"/>
      <c r="D451" s="43"/>
      <c r="E451" s="519" t="s">
        <v>250</v>
      </c>
      <c r="F451" s="404"/>
      <c r="G451" s="302"/>
      <c r="H451" s="422"/>
      <c r="I451" s="365" t="s">
        <v>453</v>
      </c>
      <c r="J451" s="366"/>
      <c r="K451" s="366"/>
      <c r="L451" s="367"/>
    </row>
    <row r="452" spans="1:14" x14ac:dyDescent="0.2">
      <c r="A452" s="476"/>
      <c r="B452" s="43"/>
      <c r="C452" s="401"/>
      <c r="D452" s="401"/>
      <c r="E452" s="521"/>
      <c r="F452" s="406"/>
      <c r="G452" s="203"/>
      <c r="H452" s="313"/>
      <c r="I452" s="17"/>
      <c r="J452" s="28"/>
      <c r="K452" s="28"/>
      <c r="L452" s="53"/>
    </row>
    <row r="453" spans="1:14" x14ac:dyDescent="0.2">
      <c r="A453" s="476"/>
      <c r="B453" s="43"/>
      <c r="C453" s="43">
        <v>620</v>
      </c>
      <c r="D453" s="477"/>
      <c r="E453" s="518"/>
      <c r="F453" s="284"/>
      <c r="G453" s="41"/>
      <c r="H453" s="286"/>
      <c r="I453" s="260" t="s">
        <v>105</v>
      </c>
      <c r="J453" s="67"/>
      <c r="K453" s="67"/>
      <c r="L453" s="49"/>
    </row>
    <row r="454" spans="1:14" x14ac:dyDescent="0.2">
      <c r="E454" s="518"/>
      <c r="F454" s="284"/>
      <c r="G454" s="41"/>
      <c r="H454" s="286"/>
      <c r="I454" s="26"/>
      <c r="J454" s="333"/>
      <c r="K454" s="333"/>
      <c r="L454" s="334"/>
    </row>
    <row r="455" spans="1:14" x14ac:dyDescent="0.2">
      <c r="A455" s="476"/>
      <c r="B455" s="43"/>
      <c r="D455" s="476"/>
      <c r="E455" s="518"/>
      <c r="F455" s="284">
        <v>80</v>
      </c>
      <c r="G455" s="41"/>
      <c r="H455" s="284">
        <v>424</v>
      </c>
      <c r="I455" s="194" t="s">
        <v>106</v>
      </c>
      <c r="J455" s="51">
        <f>15600000+3348000</f>
        <v>18948000</v>
      </c>
      <c r="K455" s="51"/>
      <c r="L455" s="51">
        <f>SUM(J455+K455)</f>
        <v>18948000</v>
      </c>
    </row>
    <row r="456" spans="1:14" x14ac:dyDescent="0.2">
      <c r="A456" s="476"/>
      <c r="B456" s="43"/>
      <c r="D456" s="476"/>
      <c r="E456" s="518"/>
      <c r="F456" s="284"/>
      <c r="G456" s="47"/>
      <c r="H456" s="286"/>
      <c r="I456" s="202" t="s">
        <v>623</v>
      </c>
      <c r="J456" s="52">
        <f>SUM(J455)</f>
        <v>18948000</v>
      </c>
      <c r="K456" s="52"/>
      <c r="L456" s="52">
        <f>SUM(J456+K456)</f>
        <v>18948000</v>
      </c>
    </row>
    <row r="457" spans="1:14" x14ac:dyDescent="0.2">
      <c r="A457" s="476"/>
      <c r="B457" s="43"/>
      <c r="D457" s="476"/>
      <c r="E457" s="518"/>
      <c r="F457" s="284"/>
      <c r="G457" s="47" t="s">
        <v>37</v>
      </c>
      <c r="H457" s="286"/>
      <c r="I457" s="194" t="s">
        <v>38</v>
      </c>
      <c r="J457" s="51">
        <f>SUM(J456-J458)</f>
        <v>17448000</v>
      </c>
      <c r="K457" s="51"/>
      <c r="L457" s="51">
        <f>SUM(J457+K457)</f>
        <v>17448000</v>
      </c>
    </row>
    <row r="458" spans="1:14" x14ac:dyDescent="0.2">
      <c r="A458" s="476"/>
      <c r="B458" s="43"/>
      <c r="D458" s="476"/>
      <c r="E458" s="518"/>
      <c r="F458" s="284"/>
      <c r="G458" s="47" t="s">
        <v>113</v>
      </c>
      <c r="H458" s="286"/>
      <c r="I458" s="194" t="s">
        <v>280</v>
      </c>
      <c r="J458" s="51">
        <v>1500000</v>
      </c>
      <c r="K458" s="51"/>
      <c r="L458" s="51">
        <f>SUM(J458:K458)</f>
        <v>1500000</v>
      </c>
    </row>
    <row r="459" spans="1:14" x14ac:dyDescent="0.2">
      <c r="A459" s="476"/>
      <c r="B459" s="43"/>
      <c r="D459" s="476"/>
      <c r="E459" s="518"/>
      <c r="F459" s="284"/>
      <c r="G459" s="47"/>
      <c r="H459" s="286"/>
      <c r="I459" s="108"/>
      <c r="J459" s="109"/>
      <c r="K459" s="109"/>
      <c r="L459" s="109"/>
    </row>
    <row r="460" spans="1:14" x14ac:dyDescent="0.2">
      <c r="A460" s="476"/>
      <c r="B460" s="43"/>
      <c r="D460" s="476"/>
      <c r="E460" s="519"/>
      <c r="F460" s="404"/>
      <c r="G460" s="303"/>
      <c r="H460" s="422"/>
      <c r="I460" s="363" t="s">
        <v>412</v>
      </c>
      <c r="J460" s="364"/>
      <c r="K460" s="364"/>
      <c r="L460" s="382"/>
    </row>
    <row r="461" spans="1:14" x14ac:dyDescent="0.2">
      <c r="A461" s="476"/>
      <c r="B461" s="43"/>
      <c r="D461" s="476"/>
      <c r="E461" s="519" t="s">
        <v>728</v>
      </c>
      <c r="F461" s="404"/>
      <c r="G461" s="303"/>
      <c r="H461" s="422"/>
      <c r="I461" s="365" t="s">
        <v>727</v>
      </c>
      <c r="J461" s="366"/>
      <c r="K461" s="366"/>
      <c r="L461" s="369"/>
    </row>
    <row r="462" spans="1:14" ht="22.5" x14ac:dyDescent="0.2">
      <c r="A462" s="476"/>
      <c r="B462" s="43"/>
      <c r="D462" s="476"/>
      <c r="E462" s="518"/>
      <c r="F462" s="284" t="s">
        <v>1046</v>
      </c>
      <c r="G462" s="47"/>
      <c r="H462" s="284">
        <v>511</v>
      </c>
      <c r="I462" s="12" t="s">
        <v>1045</v>
      </c>
      <c r="J462" s="956">
        <v>1</v>
      </c>
      <c r="K462" s="956"/>
      <c r="L462" s="956">
        <f>SUM(J462:K462)</f>
        <v>1</v>
      </c>
      <c r="N462" s="845"/>
    </row>
    <row r="463" spans="1:14" x14ac:dyDescent="0.2">
      <c r="A463" s="476"/>
      <c r="B463" s="43"/>
      <c r="D463" s="476"/>
      <c r="E463" s="518"/>
      <c r="F463" s="284">
        <v>81</v>
      </c>
      <c r="G463" s="47"/>
      <c r="H463" s="284">
        <v>511</v>
      </c>
      <c r="I463" s="191" t="s">
        <v>584</v>
      </c>
      <c r="J463" s="956">
        <v>1</v>
      </c>
      <c r="K463" s="956"/>
      <c r="L463" s="956">
        <f>SUM(J463:K463)</f>
        <v>1</v>
      </c>
      <c r="N463" s="845"/>
    </row>
    <row r="464" spans="1:14" x14ac:dyDescent="0.2">
      <c r="A464" s="476"/>
      <c r="B464" s="43"/>
      <c r="D464" s="476"/>
      <c r="E464" s="518"/>
      <c r="F464" s="284"/>
      <c r="G464" s="47" t="s">
        <v>37</v>
      </c>
      <c r="H464" s="286"/>
      <c r="I464" s="209" t="s">
        <v>38</v>
      </c>
      <c r="J464" s="956">
        <f>SUM(J462:J463)</f>
        <v>2</v>
      </c>
      <c r="K464" s="956"/>
      <c r="L464" s="956">
        <f>SUM(L462:L463)</f>
        <v>2</v>
      </c>
    </row>
    <row r="465" spans="1:75" x14ac:dyDescent="0.2">
      <c r="A465" s="476"/>
      <c r="B465" s="43"/>
      <c r="D465" s="476"/>
      <c r="E465" s="518"/>
      <c r="F465" s="284"/>
      <c r="G465" s="47"/>
      <c r="H465" s="286"/>
      <c r="I465" s="102" t="s">
        <v>1060</v>
      </c>
      <c r="J465" s="957">
        <f>SUM(J464)</f>
        <v>2</v>
      </c>
      <c r="K465" s="957"/>
      <c r="L465" s="957">
        <f>SUM(L464)</f>
        <v>2</v>
      </c>
    </row>
    <row r="466" spans="1:75" x14ac:dyDescent="0.2">
      <c r="A466" s="476"/>
      <c r="B466" s="43"/>
      <c r="D466" s="476"/>
      <c r="E466" s="518"/>
      <c r="F466" s="284"/>
      <c r="G466" s="47"/>
      <c r="H466" s="286"/>
      <c r="I466" s="108"/>
      <c r="J466" s="109"/>
      <c r="K466" s="109"/>
      <c r="L466" s="109"/>
    </row>
    <row r="467" spans="1:75" ht="22.5" x14ac:dyDescent="0.2">
      <c r="A467" s="476"/>
      <c r="B467" s="43"/>
      <c r="C467" s="43">
        <v>620</v>
      </c>
      <c r="D467" s="476"/>
      <c r="E467" s="520" t="s">
        <v>249</v>
      </c>
      <c r="F467" s="358"/>
      <c r="G467" s="307"/>
      <c r="H467" s="423"/>
      <c r="I467" s="368" t="s">
        <v>920</v>
      </c>
      <c r="J467" s="136"/>
      <c r="K467" s="136"/>
      <c r="L467" s="335"/>
    </row>
    <row r="468" spans="1:75" x14ac:dyDescent="0.2">
      <c r="A468" s="476"/>
      <c r="B468" s="43"/>
      <c r="D468" s="476"/>
      <c r="E468" s="518"/>
      <c r="F468" s="284">
        <v>82</v>
      </c>
      <c r="G468" s="41"/>
      <c r="H468" s="284">
        <v>424</v>
      </c>
      <c r="I468" s="194" t="s">
        <v>421</v>
      </c>
      <c r="J468" s="51">
        <v>3800000</v>
      </c>
      <c r="K468" s="51"/>
      <c r="L468" s="51">
        <f>SUM(J468+K468)</f>
        <v>3800000</v>
      </c>
    </row>
    <row r="469" spans="1:75" x14ac:dyDescent="0.2">
      <c r="A469" s="476"/>
      <c r="B469" s="43"/>
      <c r="D469" s="476"/>
      <c r="E469" s="518"/>
      <c r="F469" s="284"/>
      <c r="G469" s="47" t="s">
        <v>37</v>
      </c>
      <c r="H469" s="286"/>
      <c r="I469" s="194" t="s">
        <v>38</v>
      </c>
      <c r="J469" s="51">
        <f>SUM(J468:J468)</f>
        <v>3800000</v>
      </c>
      <c r="K469" s="52"/>
      <c r="L469" s="51">
        <f>SUM(J469+K469)</f>
        <v>3800000</v>
      </c>
    </row>
    <row r="470" spans="1:75" x14ac:dyDescent="0.2">
      <c r="A470" s="476"/>
      <c r="B470" s="43"/>
      <c r="D470" s="476"/>
      <c r="E470" s="518"/>
      <c r="F470" s="284"/>
      <c r="G470" s="47"/>
      <c r="H470" s="286"/>
      <c r="I470" s="202" t="s">
        <v>921</v>
      </c>
      <c r="J470" s="52">
        <f>SUM(J469)</f>
        <v>3800000</v>
      </c>
      <c r="K470" s="52"/>
      <c r="L470" s="52">
        <f t="shared" ref="L470" si="35">SUM(L469)</f>
        <v>3800000</v>
      </c>
    </row>
    <row r="471" spans="1:75" x14ac:dyDescent="0.2">
      <c r="A471" s="476"/>
      <c r="B471" s="43"/>
      <c r="D471" s="476"/>
      <c r="E471" s="518"/>
      <c r="F471" s="284"/>
      <c r="G471" s="41"/>
      <c r="H471" s="285"/>
      <c r="I471" s="261"/>
      <c r="J471" s="71"/>
      <c r="K471" s="71"/>
      <c r="L471" s="233"/>
    </row>
    <row r="472" spans="1:75" s="639" customFormat="1" x14ac:dyDescent="0.2">
      <c r="A472" s="626"/>
      <c r="B472" s="627"/>
      <c r="C472" s="627"/>
      <c r="D472" s="627">
        <v>1102</v>
      </c>
      <c r="E472" s="554"/>
      <c r="F472" s="638"/>
      <c r="G472" s="628"/>
      <c r="H472" s="638"/>
      <c r="I472" s="630" t="s">
        <v>455</v>
      </c>
      <c r="J472" s="631">
        <f>SUM(J482+J489+J537+J544+J550+J558+J572+J577+J582+J588+J593+J598+J603+J608+J614+J619+J624+J631+J636+J644+J649+J654+J659+J677+J683+J690+J698+J703+J507+J513+J519+J525+J530+J495+J501+J564+J665)</f>
        <v>806765191.92999995</v>
      </c>
      <c r="K472" s="631"/>
      <c r="L472" s="631">
        <f>SUM(J472:K472)</f>
        <v>806765191.92999995</v>
      </c>
      <c r="M472" s="991"/>
      <c r="N472" s="826"/>
      <c r="O472" s="164"/>
      <c r="P472" s="143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6"/>
      <c r="BQ472" s="166"/>
      <c r="BR472" s="166"/>
      <c r="BS472" s="166"/>
      <c r="BT472" s="166"/>
      <c r="BU472" s="166"/>
      <c r="BV472" s="166"/>
      <c r="BW472" s="166"/>
    </row>
    <row r="473" spans="1:75" x14ac:dyDescent="0.2">
      <c r="A473" s="550"/>
      <c r="B473" s="401"/>
      <c r="C473" s="401"/>
      <c r="D473" s="334"/>
      <c r="E473" s="521"/>
      <c r="F473" s="406"/>
      <c r="G473" s="203"/>
      <c r="H473" s="406"/>
      <c r="I473" s="69"/>
      <c r="J473" s="27"/>
      <c r="K473" s="27"/>
      <c r="L473" s="53"/>
    </row>
    <row r="474" spans="1:75" x14ac:dyDescent="0.2">
      <c r="A474" s="476"/>
      <c r="B474" s="43"/>
      <c r="D474" s="476"/>
      <c r="E474" s="519"/>
      <c r="F474" s="404"/>
      <c r="G474" s="302"/>
      <c r="H474" s="419"/>
      <c r="I474" s="363" t="s">
        <v>237</v>
      </c>
      <c r="J474" s="364"/>
      <c r="K474" s="364"/>
      <c r="L474" s="304"/>
    </row>
    <row r="475" spans="1:75" x14ac:dyDescent="0.2">
      <c r="A475" s="476"/>
      <c r="B475" s="43"/>
      <c r="D475" s="476"/>
      <c r="E475" s="519" t="s">
        <v>462</v>
      </c>
      <c r="F475" s="404"/>
      <c r="G475" s="302"/>
      <c r="H475" s="422"/>
      <c r="I475" s="365" t="s">
        <v>463</v>
      </c>
      <c r="J475" s="366"/>
      <c r="K475" s="366"/>
      <c r="L475" s="369"/>
    </row>
    <row r="476" spans="1:75" x14ac:dyDescent="0.2">
      <c r="A476" s="550"/>
      <c r="B476" s="401"/>
      <c r="C476" s="401"/>
      <c r="D476" s="550"/>
      <c r="E476" s="521"/>
      <c r="F476" s="406"/>
      <c r="G476" s="203"/>
      <c r="H476" s="313"/>
      <c r="I476" s="17"/>
      <c r="J476" s="28"/>
      <c r="K476" s="28"/>
      <c r="L476" s="68"/>
    </row>
    <row r="477" spans="1:75" x14ac:dyDescent="0.2">
      <c r="A477" s="43"/>
      <c r="B477" s="43"/>
      <c r="C477" s="43">
        <v>560</v>
      </c>
      <c r="D477" s="43"/>
      <c r="E477" s="518"/>
      <c r="F477" s="284"/>
      <c r="G477" s="41"/>
      <c r="H477" s="284"/>
      <c r="I477" s="260" t="s">
        <v>303</v>
      </c>
      <c r="J477" s="67"/>
      <c r="K477" s="67"/>
      <c r="L477" s="192"/>
    </row>
    <row r="478" spans="1:75" x14ac:dyDescent="0.2">
      <c r="A478" s="43"/>
      <c r="B478" s="43"/>
      <c r="D478" s="43"/>
      <c r="E478" s="518"/>
      <c r="F478" s="284"/>
      <c r="G478" s="41"/>
      <c r="H478" s="284"/>
      <c r="I478" s="206"/>
      <c r="J478" s="28"/>
      <c r="K478" s="28"/>
      <c r="L478" s="68"/>
    </row>
    <row r="479" spans="1:75" x14ac:dyDescent="0.2">
      <c r="A479" s="476"/>
      <c r="B479" s="43"/>
      <c r="E479" s="518"/>
      <c r="F479" s="284">
        <v>83</v>
      </c>
      <c r="G479" s="41"/>
      <c r="H479" s="284">
        <v>424</v>
      </c>
      <c r="I479" s="245" t="s">
        <v>317</v>
      </c>
      <c r="J479" s="51">
        <v>134000000</v>
      </c>
      <c r="K479" s="51"/>
      <c r="L479" s="51">
        <f>SUM(J479+K479)</f>
        <v>134000000</v>
      </c>
    </row>
    <row r="480" spans="1:75" x14ac:dyDescent="0.2">
      <c r="A480" s="476"/>
      <c r="B480" s="43"/>
      <c r="E480" s="518"/>
      <c r="F480" s="284"/>
      <c r="G480" s="47" t="s">
        <v>37</v>
      </c>
      <c r="H480" s="286"/>
      <c r="I480" s="194" t="s">
        <v>38</v>
      </c>
      <c r="J480" s="51">
        <f>SUM(J479-J481)</f>
        <v>76047405.370000005</v>
      </c>
      <c r="K480" s="51"/>
      <c r="L480" s="51">
        <f>SUM(J480:K480)</f>
        <v>76047405.370000005</v>
      </c>
    </row>
    <row r="481" spans="1:12" x14ac:dyDescent="0.2">
      <c r="A481" s="476"/>
      <c r="B481" s="43"/>
      <c r="E481" s="518"/>
      <c r="F481" s="284"/>
      <c r="G481" s="47" t="s">
        <v>1081</v>
      </c>
      <c r="H481" s="286"/>
      <c r="I481" s="194" t="s">
        <v>1082</v>
      </c>
      <c r="J481" s="51">
        <v>57952594.630000003</v>
      </c>
      <c r="K481" s="51"/>
      <c r="L481" s="51">
        <f>SUM(J481:K481)</f>
        <v>57952594.630000003</v>
      </c>
    </row>
    <row r="482" spans="1:12" x14ac:dyDescent="0.2">
      <c r="A482" s="476"/>
      <c r="B482" s="43"/>
      <c r="D482" s="476"/>
      <c r="E482" s="518"/>
      <c r="F482" s="284"/>
      <c r="G482" s="41"/>
      <c r="H482" s="285"/>
      <c r="I482" s="202" t="s">
        <v>624</v>
      </c>
      <c r="J482" s="52">
        <f>SUM(J479)</f>
        <v>134000000</v>
      </c>
      <c r="K482" s="52"/>
      <c r="L482" s="52">
        <f>SUM(J482:K482)</f>
        <v>134000000</v>
      </c>
    </row>
    <row r="483" spans="1:12" x14ac:dyDescent="0.2">
      <c r="A483" s="476"/>
      <c r="B483" s="43"/>
      <c r="D483" s="476"/>
      <c r="E483" s="518"/>
      <c r="F483" s="284"/>
      <c r="G483" s="41"/>
      <c r="H483" s="285"/>
      <c r="I483" s="17"/>
      <c r="J483" s="167"/>
      <c r="K483" s="167"/>
      <c r="L483" s="300"/>
    </row>
    <row r="484" spans="1:12" x14ac:dyDescent="0.2">
      <c r="A484" s="476"/>
      <c r="B484" s="43"/>
      <c r="C484" s="43">
        <v>560</v>
      </c>
      <c r="D484" s="476"/>
      <c r="E484" s="519" t="s">
        <v>684</v>
      </c>
      <c r="F484" s="404"/>
      <c r="G484" s="302"/>
      <c r="H484" s="419"/>
      <c r="I484" s="363" t="s">
        <v>412</v>
      </c>
      <c r="J484" s="364"/>
      <c r="K484" s="364"/>
      <c r="L484" s="304"/>
    </row>
    <row r="485" spans="1:12" x14ac:dyDescent="0.2">
      <c r="A485" s="476"/>
      <c r="B485" s="43"/>
      <c r="D485" s="476"/>
      <c r="E485" s="519"/>
      <c r="F485" s="404"/>
      <c r="G485" s="302"/>
      <c r="H485" s="419"/>
      <c r="I485" s="365" t="s">
        <v>685</v>
      </c>
      <c r="J485" s="366"/>
      <c r="K485" s="366"/>
      <c r="L485" s="369"/>
    </row>
    <row r="486" spans="1:12" x14ac:dyDescent="0.2">
      <c r="A486" s="476"/>
      <c r="B486" s="43"/>
      <c r="D486" s="476"/>
      <c r="E486" s="518"/>
      <c r="F486" s="284"/>
      <c r="G486" s="41"/>
      <c r="H486" s="285"/>
      <c r="I486" s="17"/>
      <c r="J486" s="27"/>
      <c r="K486" s="27"/>
      <c r="L486" s="53"/>
    </row>
    <row r="487" spans="1:12" x14ac:dyDescent="0.2">
      <c r="A487" s="476"/>
      <c r="B487" s="43"/>
      <c r="D487" s="476"/>
      <c r="E487" s="518"/>
      <c r="F487" s="284">
        <v>84</v>
      </c>
      <c r="G487" s="41"/>
      <c r="H487" s="284">
        <v>424</v>
      </c>
      <c r="I487" s="245" t="s">
        <v>421</v>
      </c>
      <c r="J487" s="51">
        <v>10000000</v>
      </c>
      <c r="K487" s="51"/>
      <c r="L487" s="51">
        <f>SUM(J487+K487)</f>
        <v>10000000</v>
      </c>
    </row>
    <row r="488" spans="1:12" x14ac:dyDescent="0.2">
      <c r="A488" s="476"/>
      <c r="B488" s="43"/>
      <c r="D488" s="476"/>
      <c r="E488" s="518"/>
      <c r="F488" s="284"/>
      <c r="G488" s="47" t="s">
        <v>37</v>
      </c>
      <c r="H488" s="286"/>
      <c r="I488" s="194" t="s">
        <v>38</v>
      </c>
      <c r="J488" s="51">
        <f>SUM(J487)</f>
        <v>10000000</v>
      </c>
      <c r="K488" s="51"/>
      <c r="L488" s="51">
        <f>SUM(J488:K488)</f>
        <v>10000000</v>
      </c>
    </row>
    <row r="489" spans="1:12" x14ac:dyDescent="0.2">
      <c r="A489" s="476"/>
      <c r="B489" s="43"/>
      <c r="D489" s="476"/>
      <c r="E489" s="518"/>
      <c r="F489" s="284"/>
      <c r="G489" s="41"/>
      <c r="H489" s="285"/>
      <c r="I489" s="202" t="s">
        <v>686</v>
      </c>
      <c r="J489" s="52">
        <f>SUM(J488:J488)</f>
        <v>10000000</v>
      </c>
      <c r="K489" s="52"/>
      <c r="L489" s="52">
        <f>SUM(L488:L488)</f>
        <v>10000000</v>
      </c>
    </row>
    <row r="490" spans="1:12" x14ac:dyDescent="0.2">
      <c r="A490" s="476"/>
      <c r="B490" s="43"/>
      <c r="D490" s="476"/>
      <c r="E490" s="518"/>
      <c r="F490" s="810"/>
      <c r="G490" s="811"/>
      <c r="H490" s="812"/>
      <c r="I490" s="17"/>
      <c r="J490" s="27"/>
      <c r="K490" s="27"/>
      <c r="L490" s="53"/>
    </row>
    <row r="491" spans="1:12" x14ac:dyDescent="0.2">
      <c r="A491" s="476"/>
      <c r="B491" s="43"/>
      <c r="C491" s="43">
        <v>620</v>
      </c>
      <c r="D491" s="476"/>
      <c r="E491" s="520" t="s">
        <v>454</v>
      </c>
      <c r="F491" s="358"/>
      <c r="G491" s="307"/>
      <c r="H491" s="358"/>
      <c r="I491" s="813" t="s">
        <v>952</v>
      </c>
      <c r="J491" s="52"/>
      <c r="K491" s="52"/>
      <c r="L491" s="52"/>
    </row>
    <row r="492" spans="1:12" x14ac:dyDescent="0.2">
      <c r="A492" s="476"/>
      <c r="B492" s="43"/>
      <c r="D492" s="476"/>
      <c r="E492" s="521"/>
      <c r="F492" s="792" t="s">
        <v>998</v>
      </c>
      <c r="G492" s="793"/>
      <c r="H492" s="794" t="s">
        <v>46</v>
      </c>
      <c r="I492" s="798" t="s">
        <v>421</v>
      </c>
      <c r="J492" s="799">
        <v>200000</v>
      </c>
      <c r="K492" s="796"/>
      <c r="L492" s="799">
        <f>SUM(J492:K492)</f>
        <v>200000</v>
      </c>
    </row>
    <row r="493" spans="1:12" x14ac:dyDescent="0.2">
      <c r="A493" s="476"/>
      <c r="B493" s="43"/>
      <c r="D493" s="476"/>
      <c r="E493" s="518"/>
      <c r="F493" s="284" t="s">
        <v>999</v>
      </c>
      <c r="G493" s="41"/>
      <c r="H493" s="284">
        <v>511</v>
      </c>
      <c r="I493" s="262" t="s">
        <v>20</v>
      </c>
      <c r="J493" s="336">
        <v>6000000</v>
      </c>
      <c r="K493" s="51"/>
      <c r="L493" s="51">
        <f>SUM(J493+K493)</f>
        <v>6000000</v>
      </c>
    </row>
    <row r="494" spans="1:12" x14ac:dyDescent="0.2">
      <c r="A494" s="476"/>
      <c r="B494" s="43"/>
      <c r="D494" s="476"/>
      <c r="E494" s="518"/>
      <c r="F494" s="284"/>
      <c r="G494" s="47" t="s">
        <v>37</v>
      </c>
      <c r="H494" s="286"/>
      <c r="I494" s="194" t="s">
        <v>38</v>
      </c>
      <c r="J494" s="56">
        <f>SUM(J492:J493)</f>
        <v>6200000</v>
      </c>
      <c r="K494" s="52"/>
      <c r="L494" s="51">
        <f>SUM(J494+K494)</f>
        <v>6200000</v>
      </c>
    </row>
    <row r="495" spans="1:12" x14ac:dyDescent="0.2">
      <c r="A495" s="476"/>
      <c r="B495" s="43"/>
      <c r="D495" s="476"/>
      <c r="E495" s="518"/>
      <c r="F495" s="284"/>
      <c r="G495" s="41"/>
      <c r="H495" s="284"/>
      <c r="I495" s="202" t="s">
        <v>710</v>
      </c>
      <c r="J495" s="52">
        <f>SUM(J494:J494)</f>
        <v>6200000</v>
      </c>
      <c r="K495" s="52"/>
      <c r="L495" s="52">
        <f>SUM(L494:L494)</f>
        <v>6200000</v>
      </c>
    </row>
    <row r="496" spans="1:12" x14ac:dyDescent="0.2">
      <c r="A496" s="476"/>
      <c r="B496" s="43"/>
      <c r="D496" s="476"/>
      <c r="E496" s="518"/>
      <c r="F496" s="284"/>
      <c r="G496" s="41"/>
      <c r="H496" s="285"/>
      <c r="I496" s="814"/>
      <c r="J496" s="52"/>
      <c r="K496" s="52"/>
      <c r="L496" s="52"/>
    </row>
    <row r="497" spans="1:12" x14ac:dyDescent="0.2">
      <c r="A497" s="476"/>
      <c r="B497" s="43"/>
      <c r="C497" s="43">
        <v>620</v>
      </c>
      <c r="D497" s="476"/>
      <c r="E497" s="520" t="s">
        <v>454</v>
      </c>
      <c r="F497" s="358"/>
      <c r="G497" s="307"/>
      <c r="H497" s="358"/>
      <c r="I497" s="813" t="s">
        <v>953</v>
      </c>
      <c r="J497" s="52"/>
      <c r="K497" s="52"/>
      <c r="L497" s="52"/>
    </row>
    <row r="498" spans="1:12" x14ac:dyDescent="0.2">
      <c r="A498" s="476"/>
      <c r="B498" s="43"/>
      <c r="D498" s="476"/>
      <c r="E498" s="521"/>
      <c r="F498" s="792" t="s">
        <v>1026</v>
      </c>
      <c r="G498" s="793"/>
      <c r="H498" s="794" t="s">
        <v>46</v>
      </c>
      <c r="I498" s="798" t="s">
        <v>421</v>
      </c>
      <c r="J498" s="799">
        <v>200000</v>
      </c>
      <c r="K498" s="796"/>
      <c r="L498" s="799">
        <f>SUM(J498:K498)</f>
        <v>200000</v>
      </c>
    </row>
    <row r="499" spans="1:12" x14ac:dyDescent="0.2">
      <c r="A499" s="476"/>
      <c r="B499" s="43"/>
      <c r="D499" s="476"/>
      <c r="E499" s="518"/>
      <c r="F499" s="284" t="s">
        <v>1027</v>
      </c>
      <c r="G499" s="41"/>
      <c r="H499" s="284">
        <v>511</v>
      </c>
      <c r="I499" s="262" t="s">
        <v>20</v>
      </c>
      <c r="J499" s="336">
        <v>6000000</v>
      </c>
      <c r="K499" s="51"/>
      <c r="L499" s="51">
        <f>SUM(J499+K499)</f>
        <v>6000000</v>
      </c>
    </row>
    <row r="500" spans="1:12" x14ac:dyDescent="0.2">
      <c r="A500" s="476"/>
      <c r="B500" s="43"/>
      <c r="D500" s="476"/>
      <c r="E500" s="518"/>
      <c r="F500" s="284"/>
      <c r="G500" s="47" t="s">
        <v>37</v>
      </c>
      <c r="H500" s="286"/>
      <c r="I500" s="194" t="s">
        <v>38</v>
      </c>
      <c r="J500" s="56">
        <f>SUM(J498:J499)</f>
        <v>6200000</v>
      </c>
      <c r="K500" s="52"/>
      <c r="L500" s="51">
        <f>SUM(J500+K500)</f>
        <v>6200000</v>
      </c>
    </row>
    <row r="501" spans="1:12" x14ac:dyDescent="0.2">
      <c r="A501" s="476"/>
      <c r="B501" s="43"/>
      <c r="D501" s="476"/>
      <c r="E501" s="518"/>
      <c r="F501" s="284"/>
      <c r="G501" s="41"/>
      <c r="H501" s="284"/>
      <c r="I501" s="202" t="s">
        <v>710</v>
      </c>
      <c r="J501" s="52">
        <f>SUM(J500:J500)</f>
        <v>6200000</v>
      </c>
      <c r="K501" s="52"/>
      <c r="L501" s="52">
        <f>SUM(L500:L500)</f>
        <v>6200000</v>
      </c>
    </row>
    <row r="502" spans="1:12" x14ac:dyDescent="0.2">
      <c r="A502" s="476"/>
      <c r="B502" s="43"/>
      <c r="D502" s="476"/>
      <c r="E502" s="518"/>
      <c r="F502" s="284"/>
      <c r="G502" s="41"/>
      <c r="H502" s="285"/>
      <c r="I502" s="814"/>
      <c r="J502" s="52"/>
      <c r="K502" s="52"/>
      <c r="L502" s="52"/>
    </row>
    <row r="503" spans="1:12" ht="22.5" x14ac:dyDescent="0.2">
      <c r="A503" s="476"/>
      <c r="B503" s="43"/>
      <c r="C503" s="43">
        <v>560</v>
      </c>
      <c r="E503" s="520" t="s">
        <v>454</v>
      </c>
      <c r="F503" s="358"/>
      <c r="G503" s="307"/>
      <c r="H503" s="358"/>
      <c r="I503" s="309" t="s">
        <v>722</v>
      </c>
      <c r="J503" s="299"/>
      <c r="K503" s="299"/>
      <c r="L503" s="49"/>
    </row>
    <row r="504" spans="1:12" x14ac:dyDescent="0.2">
      <c r="A504" s="476"/>
      <c r="B504" s="43"/>
      <c r="E504" s="518"/>
      <c r="F504" s="284">
        <v>85</v>
      </c>
      <c r="G504" s="41"/>
      <c r="H504" s="284">
        <v>424</v>
      </c>
      <c r="I504" s="245" t="s">
        <v>421</v>
      </c>
      <c r="J504" s="993">
        <v>1</v>
      </c>
      <c r="K504" s="956"/>
      <c r="L504" s="956">
        <f>SUM(J504+K504)</f>
        <v>1</v>
      </c>
    </row>
    <row r="505" spans="1:12" x14ac:dyDescent="0.2">
      <c r="A505" s="476"/>
      <c r="B505" s="43"/>
      <c r="E505" s="518"/>
      <c r="F505" s="284" t="s">
        <v>1075</v>
      </c>
      <c r="G505" s="41"/>
      <c r="H505" s="284">
        <v>511</v>
      </c>
      <c r="I505" s="262" t="s">
        <v>20</v>
      </c>
      <c r="J505" s="993">
        <v>600000</v>
      </c>
      <c r="K505" s="956"/>
      <c r="L505" s="956">
        <f>SUM(J505+K505)</f>
        <v>600000</v>
      </c>
    </row>
    <row r="506" spans="1:12" x14ac:dyDescent="0.2">
      <c r="B506" s="160"/>
      <c r="C506" s="160"/>
      <c r="D506" s="474"/>
      <c r="E506" s="518"/>
      <c r="F506" s="284"/>
      <c r="G506" s="47" t="s">
        <v>37</v>
      </c>
      <c r="H506" s="286"/>
      <c r="I506" s="194" t="s">
        <v>38</v>
      </c>
      <c r="J506" s="989">
        <f>SUM(J504:J505)</f>
        <v>600001</v>
      </c>
      <c r="K506" s="957"/>
      <c r="L506" s="956">
        <f>SUM(J506+K506)</f>
        <v>600001</v>
      </c>
    </row>
    <row r="507" spans="1:12" x14ac:dyDescent="0.2">
      <c r="B507" s="160"/>
      <c r="C507" s="160"/>
      <c r="D507" s="474"/>
      <c r="E507" s="518"/>
      <c r="F507" s="284"/>
      <c r="G507" s="41"/>
      <c r="H507" s="284"/>
      <c r="I507" s="202" t="s">
        <v>710</v>
      </c>
      <c r="J507" s="957">
        <f>SUM(J506:J506)</f>
        <v>600001</v>
      </c>
      <c r="K507" s="957"/>
      <c r="L507" s="957">
        <f>SUM(L506:L506)</f>
        <v>600001</v>
      </c>
    </row>
    <row r="508" spans="1:12" x14ac:dyDescent="0.2">
      <c r="A508" s="476"/>
      <c r="B508" s="43"/>
      <c r="D508" s="476"/>
      <c r="E508" s="518"/>
      <c r="F508" s="284"/>
      <c r="G508" s="41"/>
      <c r="H508" s="285"/>
      <c r="I508" s="242"/>
      <c r="J508" s="27"/>
      <c r="K508" s="27"/>
      <c r="L508" s="53"/>
    </row>
    <row r="509" spans="1:12" ht="22.5" x14ac:dyDescent="0.2">
      <c r="A509" s="476"/>
      <c r="B509" s="43"/>
      <c r="C509" s="43">
        <v>560</v>
      </c>
      <c r="E509" s="520" t="s">
        <v>454</v>
      </c>
      <c r="F509" s="358"/>
      <c r="G509" s="307"/>
      <c r="H509" s="358"/>
      <c r="I509" s="309" t="s">
        <v>723</v>
      </c>
      <c r="J509" s="299"/>
      <c r="K509" s="299"/>
      <c r="L509" s="49"/>
    </row>
    <row r="510" spans="1:12" x14ac:dyDescent="0.2">
      <c r="A510" s="476"/>
      <c r="B510" s="43"/>
      <c r="E510" s="518"/>
      <c r="F510" s="284">
        <v>86</v>
      </c>
      <c r="G510" s="41"/>
      <c r="H510" s="284">
        <v>424</v>
      </c>
      <c r="I510" s="245" t="s">
        <v>421</v>
      </c>
      <c r="J510" s="336">
        <v>1</v>
      </c>
      <c r="K510" s="51"/>
      <c r="L510" s="51">
        <f>SUM(J510+K510)</f>
        <v>1</v>
      </c>
    </row>
    <row r="511" spans="1:12" x14ac:dyDescent="0.2">
      <c r="A511" s="476"/>
      <c r="B511" s="43"/>
      <c r="E511" s="518"/>
      <c r="F511" s="284" t="s">
        <v>1076</v>
      </c>
      <c r="G511" s="41"/>
      <c r="H511" s="284">
        <v>511</v>
      </c>
      <c r="I511" s="262" t="s">
        <v>20</v>
      </c>
      <c r="J511" s="993">
        <v>600000</v>
      </c>
      <c r="K511" s="956"/>
      <c r="L511" s="956">
        <f>SUM(J511+K511)</f>
        <v>600000</v>
      </c>
    </row>
    <row r="512" spans="1:12" x14ac:dyDescent="0.2">
      <c r="B512" s="160"/>
      <c r="C512" s="160"/>
      <c r="D512" s="474"/>
      <c r="E512" s="518"/>
      <c r="F512" s="284"/>
      <c r="G512" s="47" t="s">
        <v>37</v>
      </c>
      <c r="H512" s="286"/>
      <c r="I512" s="194" t="s">
        <v>38</v>
      </c>
      <c r="J512" s="989">
        <f>SUM(J510:J511)</f>
        <v>600001</v>
      </c>
      <c r="K512" s="957"/>
      <c r="L512" s="956">
        <f>SUM(J512+K512)</f>
        <v>600001</v>
      </c>
    </row>
    <row r="513" spans="1:14" x14ac:dyDescent="0.2">
      <c r="B513" s="160"/>
      <c r="C513" s="160"/>
      <c r="D513" s="474"/>
      <c r="E513" s="518"/>
      <c r="F513" s="284"/>
      <c r="G513" s="41"/>
      <c r="H513" s="284"/>
      <c r="I513" s="202" t="s">
        <v>710</v>
      </c>
      <c r="J513" s="957">
        <f>SUM(J512:J512)</f>
        <v>600001</v>
      </c>
      <c r="K513" s="957"/>
      <c r="L513" s="957">
        <f>SUM(L512:L512)</f>
        <v>600001</v>
      </c>
    </row>
    <row r="514" spans="1:14" x14ac:dyDescent="0.2">
      <c r="A514" s="476"/>
      <c r="B514" s="43"/>
      <c r="D514" s="476"/>
      <c r="E514" s="518"/>
      <c r="F514" s="284"/>
      <c r="G514" s="41"/>
      <c r="H514" s="285"/>
      <c r="I514" s="242"/>
      <c r="J514" s="27"/>
      <c r="K514" s="27"/>
      <c r="L514" s="53"/>
    </row>
    <row r="515" spans="1:14" ht="22.5" x14ac:dyDescent="0.2">
      <c r="A515" s="476"/>
      <c r="B515" s="43"/>
      <c r="C515" s="43">
        <v>560</v>
      </c>
      <c r="E515" s="520" t="s">
        <v>454</v>
      </c>
      <c r="F515" s="358"/>
      <c r="G515" s="307"/>
      <c r="H515" s="358"/>
      <c r="I515" s="309" t="s">
        <v>724</v>
      </c>
      <c r="J515" s="299"/>
      <c r="K515" s="299"/>
      <c r="L515" s="49"/>
    </row>
    <row r="516" spans="1:14" x14ac:dyDescent="0.2">
      <c r="A516" s="476"/>
      <c r="B516" s="43"/>
      <c r="E516" s="518"/>
      <c r="F516" s="284">
        <v>87</v>
      </c>
      <c r="G516" s="41"/>
      <c r="H516" s="284">
        <v>424</v>
      </c>
      <c r="I516" s="245" t="s">
        <v>421</v>
      </c>
      <c r="J516" s="336">
        <v>1</v>
      </c>
      <c r="K516" s="51"/>
      <c r="L516" s="51">
        <f>SUM(J516+K516)</f>
        <v>1</v>
      </c>
    </row>
    <row r="517" spans="1:14" x14ac:dyDescent="0.2">
      <c r="A517" s="476"/>
      <c r="B517" s="43"/>
      <c r="E517" s="518"/>
      <c r="F517" s="284" t="s">
        <v>1077</v>
      </c>
      <c r="G517" s="41"/>
      <c r="H517" s="284">
        <v>511</v>
      </c>
      <c r="I517" s="262" t="s">
        <v>20</v>
      </c>
      <c r="J517" s="993">
        <v>600000</v>
      </c>
      <c r="K517" s="956"/>
      <c r="L517" s="956">
        <f>SUM(J517+K517)</f>
        <v>600000</v>
      </c>
    </row>
    <row r="518" spans="1:14" x14ac:dyDescent="0.2">
      <c r="B518" s="160"/>
      <c r="C518" s="160"/>
      <c r="D518" s="474"/>
      <c r="E518" s="518"/>
      <c r="F518" s="284"/>
      <c r="G518" s="47" t="s">
        <v>37</v>
      </c>
      <c r="H518" s="286"/>
      <c r="I518" s="194" t="s">
        <v>38</v>
      </c>
      <c r="J518" s="989">
        <f>SUM(J516:J517)</f>
        <v>600001</v>
      </c>
      <c r="K518" s="957"/>
      <c r="L518" s="956">
        <f>SUM(J518+K518)</f>
        <v>600001</v>
      </c>
    </row>
    <row r="519" spans="1:14" x14ac:dyDescent="0.2">
      <c r="B519" s="160"/>
      <c r="C519" s="160"/>
      <c r="D519" s="474"/>
      <c r="E519" s="518"/>
      <c r="F519" s="284"/>
      <c r="G519" s="41"/>
      <c r="H519" s="284"/>
      <c r="I519" s="202" t="s">
        <v>710</v>
      </c>
      <c r="J519" s="957">
        <f>SUM(J518:J518)</f>
        <v>600001</v>
      </c>
      <c r="K519" s="957"/>
      <c r="L519" s="957">
        <f>SUM(L518:L518)</f>
        <v>600001</v>
      </c>
    </row>
    <row r="520" spans="1:14" x14ac:dyDescent="0.2">
      <c r="A520" s="476"/>
      <c r="B520" s="43"/>
      <c r="D520" s="476"/>
      <c r="E520" s="518"/>
      <c r="F520" s="284"/>
      <c r="G520" s="41"/>
      <c r="H520" s="285"/>
      <c r="I520" s="242"/>
      <c r="J520" s="27"/>
      <c r="K520" s="27"/>
      <c r="L520" s="53"/>
    </row>
    <row r="521" spans="1:14" ht="22.5" x14ac:dyDescent="0.2">
      <c r="A521" s="476"/>
      <c r="B521" s="43"/>
      <c r="C521" s="43">
        <v>560</v>
      </c>
      <c r="E521" s="520" t="s">
        <v>454</v>
      </c>
      <c r="F521" s="358"/>
      <c r="G521" s="307"/>
      <c r="H521" s="358"/>
      <c r="I521" s="309" t="s">
        <v>725</v>
      </c>
      <c r="J521" s="299"/>
      <c r="K521" s="299"/>
      <c r="L521" s="49"/>
    </row>
    <row r="522" spans="1:14" x14ac:dyDescent="0.2">
      <c r="A522" s="476"/>
      <c r="B522" s="43"/>
      <c r="E522" s="518"/>
      <c r="F522" s="284">
        <v>88</v>
      </c>
      <c r="G522" s="41"/>
      <c r="H522" s="284">
        <v>424</v>
      </c>
      <c r="I522" s="245" t="s">
        <v>421</v>
      </c>
      <c r="J522" s="336">
        <v>1</v>
      </c>
      <c r="K522" s="51"/>
      <c r="L522" s="51">
        <f>SUM(J522+K522)</f>
        <v>1</v>
      </c>
    </row>
    <row r="523" spans="1:14" x14ac:dyDescent="0.2">
      <c r="A523" s="476"/>
      <c r="B523" s="43"/>
      <c r="E523" s="518"/>
      <c r="F523" s="284" t="s">
        <v>1078</v>
      </c>
      <c r="G523" s="41"/>
      <c r="H523" s="284">
        <v>511</v>
      </c>
      <c r="I523" s="262" t="s">
        <v>20</v>
      </c>
      <c r="J523" s="993">
        <v>600000</v>
      </c>
      <c r="K523" s="956"/>
      <c r="L523" s="956">
        <f>SUM(J523+K523)</f>
        <v>600000</v>
      </c>
    </row>
    <row r="524" spans="1:14" x14ac:dyDescent="0.2">
      <c r="B524" s="160"/>
      <c r="C524" s="160"/>
      <c r="D524" s="474"/>
      <c r="E524" s="518"/>
      <c r="F524" s="284"/>
      <c r="G524" s="47" t="s">
        <v>37</v>
      </c>
      <c r="H524" s="286"/>
      <c r="I524" s="194" t="s">
        <v>38</v>
      </c>
      <c r="J524" s="989">
        <f>SUM(J522:J523)</f>
        <v>600001</v>
      </c>
      <c r="K524" s="957"/>
      <c r="L524" s="956">
        <f>SUM(J524+K524)</f>
        <v>600001</v>
      </c>
    </row>
    <row r="525" spans="1:14" x14ac:dyDescent="0.2">
      <c r="B525" s="160"/>
      <c r="C525" s="160"/>
      <c r="D525" s="474"/>
      <c r="E525" s="518"/>
      <c r="F525" s="284"/>
      <c r="G525" s="41"/>
      <c r="H525" s="284"/>
      <c r="I525" s="202" t="s">
        <v>710</v>
      </c>
      <c r="J525" s="957">
        <f>SUM(J524:J524)</f>
        <v>600001</v>
      </c>
      <c r="K525" s="957"/>
      <c r="L525" s="957">
        <f>SUM(L524:L524)</f>
        <v>600001</v>
      </c>
    </row>
    <row r="526" spans="1:14" x14ac:dyDescent="0.2">
      <c r="A526" s="476"/>
      <c r="B526" s="43"/>
      <c r="D526" s="476"/>
      <c r="E526" s="518"/>
      <c r="F526" s="284"/>
      <c r="G526" s="41"/>
      <c r="H526" s="285"/>
      <c r="I526" s="242"/>
      <c r="J526" s="27"/>
      <c r="K526" s="27"/>
      <c r="L526" s="53"/>
    </row>
    <row r="527" spans="1:14" ht="22.5" x14ac:dyDescent="0.2">
      <c r="A527" s="476"/>
      <c r="B527" s="43"/>
      <c r="C527" s="43">
        <v>560</v>
      </c>
      <c r="E527" s="520" t="s">
        <v>454</v>
      </c>
      <c r="F527" s="358"/>
      <c r="G527" s="307"/>
      <c r="H527" s="358"/>
      <c r="I527" s="309" t="s">
        <v>726</v>
      </c>
      <c r="J527" s="299"/>
      <c r="K527" s="299"/>
      <c r="L527" s="49"/>
    </row>
    <row r="528" spans="1:14" x14ac:dyDescent="0.2">
      <c r="A528" s="476"/>
      <c r="B528" s="43"/>
      <c r="E528" s="518"/>
      <c r="F528" s="284">
        <v>89</v>
      </c>
      <c r="G528" s="41"/>
      <c r="H528" s="284">
        <v>423</v>
      </c>
      <c r="I528" s="245" t="s">
        <v>9</v>
      </c>
      <c r="J528" s="993">
        <v>10000000</v>
      </c>
      <c r="K528" s="956"/>
      <c r="L528" s="956">
        <f>SUM(J528+K528)</f>
        <v>10000000</v>
      </c>
      <c r="N528" s="845"/>
    </row>
    <row r="529" spans="1:12" x14ac:dyDescent="0.2">
      <c r="B529" s="160"/>
      <c r="C529" s="160"/>
      <c r="D529" s="474"/>
      <c r="E529" s="518"/>
      <c r="F529" s="284"/>
      <c r="G529" s="47" t="s">
        <v>37</v>
      </c>
      <c r="H529" s="286"/>
      <c r="I529" s="194" t="s">
        <v>38</v>
      </c>
      <c r="J529" s="989">
        <f>SUM(J528)</f>
        <v>10000000</v>
      </c>
      <c r="K529" s="957"/>
      <c r="L529" s="956">
        <f>SUM(J529+K529)</f>
        <v>10000000</v>
      </c>
    </row>
    <row r="530" spans="1:12" x14ac:dyDescent="0.2">
      <c r="B530" s="160"/>
      <c r="C530" s="160"/>
      <c r="D530" s="474"/>
      <c r="E530" s="518"/>
      <c r="F530" s="284"/>
      <c r="G530" s="41"/>
      <c r="H530" s="284"/>
      <c r="I530" s="202" t="s">
        <v>710</v>
      </c>
      <c r="J530" s="957">
        <f>SUM(J529:J529)</f>
        <v>10000000</v>
      </c>
      <c r="K530" s="957"/>
      <c r="L530" s="957">
        <f>SUM(L529:L529)</f>
        <v>10000000</v>
      </c>
    </row>
    <row r="531" spans="1:12" x14ac:dyDescent="0.2">
      <c r="A531" s="550"/>
      <c r="B531" s="401"/>
      <c r="C531" s="401"/>
      <c r="D531" s="550"/>
      <c r="E531" s="521"/>
      <c r="F531" s="406"/>
      <c r="G531" s="203"/>
      <c r="H531" s="432"/>
      <c r="I531" s="69"/>
      <c r="J531" s="27"/>
      <c r="K531" s="27"/>
      <c r="L531" s="53"/>
    </row>
    <row r="532" spans="1:12" x14ac:dyDescent="0.2">
      <c r="A532" s="476"/>
      <c r="B532" s="43"/>
      <c r="C532" s="43">
        <v>560</v>
      </c>
      <c r="D532" s="43"/>
      <c r="E532" s="518"/>
      <c r="F532" s="284"/>
      <c r="G532" s="41"/>
      <c r="H532" s="284"/>
      <c r="I532" s="260" t="s">
        <v>303</v>
      </c>
      <c r="J532" s="67"/>
      <c r="K532" s="67"/>
      <c r="L532" s="192"/>
    </row>
    <row r="533" spans="1:12" x14ac:dyDescent="0.2">
      <c r="A533" s="476"/>
      <c r="B533" s="43"/>
      <c r="E533" s="518"/>
      <c r="F533" s="284"/>
      <c r="G533" s="41"/>
      <c r="H533" s="284"/>
      <c r="I533" s="26"/>
      <c r="J533" s="27"/>
      <c r="K533" s="27"/>
      <c r="L533" s="53"/>
    </row>
    <row r="534" spans="1:12" x14ac:dyDescent="0.2">
      <c r="A534" s="476"/>
      <c r="B534" s="43"/>
      <c r="E534" s="520" t="s">
        <v>454</v>
      </c>
      <c r="F534" s="358"/>
      <c r="G534" s="307"/>
      <c r="H534" s="358"/>
      <c r="I534" s="370" t="s">
        <v>905</v>
      </c>
      <c r="J534" s="299"/>
      <c r="K534" s="299"/>
      <c r="L534" s="49"/>
    </row>
    <row r="535" spans="1:12" x14ac:dyDescent="0.2">
      <c r="A535" s="476"/>
      <c r="B535" s="43"/>
      <c r="E535" s="518"/>
      <c r="F535" s="284">
        <v>90</v>
      </c>
      <c r="G535" s="41"/>
      <c r="H535" s="284">
        <v>424</v>
      </c>
      <c r="I535" s="245" t="s">
        <v>421</v>
      </c>
      <c r="J535" s="336">
        <v>1500000</v>
      </c>
      <c r="K535" s="51"/>
      <c r="L535" s="51">
        <f>SUM(J535+K535)</f>
        <v>1500000</v>
      </c>
    </row>
    <row r="536" spans="1:12" x14ac:dyDescent="0.2">
      <c r="B536" s="160"/>
      <c r="C536" s="160"/>
      <c r="D536" s="474"/>
      <c r="E536" s="518"/>
      <c r="F536" s="284"/>
      <c r="G536" s="47" t="s">
        <v>37</v>
      </c>
      <c r="H536" s="286"/>
      <c r="I536" s="194" t="s">
        <v>38</v>
      </c>
      <c r="J536" s="56">
        <f>SUM(J535)</f>
        <v>1500000</v>
      </c>
      <c r="K536" s="52"/>
      <c r="L536" s="51">
        <f>SUM(J536+K536)</f>
        <v>1500000</v>
      </c>
    </row>
    <row r="537" spans="1:12" x14ac:dyDescent="0.2">
      <c r="B537" s="160"/>
      <c r="C537" s="160"/>
      <c r="D537" s="474"/>
      <c r="E537" s="518"/>
      <c r="F537" s="284"/>
      <c r="G537" s="41"/>
      <c r="H537" s="284"/>
      <c r="I537" s="202" t="s">
        <v>710</v>
      </c>
      <c r="J537" s="52">
        <f>SUM(J536:J536)</f>
        <v>1500000</v>
      </c>
      <c r="K537" s="52"/>
      <c r="L537" s="52">
        <f>SUM(L536:L536)</f>
        <v>1500000</v>
      </c>
    </row>
    <row r="538" spans="1:12" x14ac:dyDescent="0.2">
      <c r="B538" s="160"/>
      <c r="C538" s="160"/>
      <c r="D538" s="474"/>
      <c r="E538" s="518"/>
      <c r="F538" s="292"/>
      <c r="G538" s="70"/>
      <c r="H538" s="292"/>
      <c r="I538" s="640"/>
      <c r="J538" s="331"/>
      <c r="K538" s="331"/>
      <c r="L538" s="332"/>
    </row>
    <row r="539" spans="1:12" x14ac:dyDescent="0.2">
      <c r="A539" s="476"/>
      <c r="B539" s="43"/>
      <c r="C539" s="43">
        <v>560</v>
      </c>
      <c r="D539" s="43"/>
      <c r="E539" s="518"/>
      <c r="F539" s="284"/>
      <c r="G539" s="41"/>
      <c r="H539" s="284"/>
      <c r="I539" s="260" t="s">
        <v>303</v>
      </c>
      <c r="J539" s="67"/>
      <c r="K539" s="67"/>
      <c r="L539" s="192"/>
    </row>
    <row r="540" spans="1:12" x14ac:dyDescent="0.2">
      <c r="A540" s="476"/>
      <c r="B540" s="43"/>
      <c r="E540" s="518"/>
      <c r="F540" s="284"/>
      <c r="G540" s="41"/>
      <c r="H540" s="284"/>
      <c r="I540" s="26"/>
      <c r="J540" s="27"/>
      <c r="K540" s="27"/>
      <c r="L540" s="53"/>
    </row>
    <row r="541" spans="1:12" ht="22.5" x14ac:dyDescent="0.2">
      <c r="A541" s="476"/>
      <c r="B541" s="43"/>
      <c r="E541" s="520" t="s">
        <v>454</v>
      </c>
      <c r="F541" s="358"/>
      <c r="G541" s="307"/>
      <c r="H541" s="358"/>
      <c r="I541" s="371" t="s">
        <v>906</v>
      </c>
      <c r="J541" s="71"/>
      <c r="K541" s="71"/>
      <c r="L541" s="233"/>
    </row>
    <row r="542" spans="1:12" x14ac:dyDescent="0.2">
      <c r="A542" s="476"/>
      <c r="B542" s="43"/>
      <c r="E542" s="518"/>
      <c r="F542" s="284">
        <v>91</v>
      </c>
      <c r="G542" s="41"/>
      <c r="H542" s="284">
        <v>512</v>
      </c>
      <c r="I542" s="245" t="s">
        <v>21</v>
      </c>
      <c r="J542" s="51">
        <v>4000000</v>
      </c>
      <c r="K542" s="51"/>
      <c r="L542" s="51">
        <f>SUM(J542+K542)</f>
        <v>4000000</v>
      </c>
    </row>
    <row r="543" spans="1:12" x14ac:dyDescent="0.2">
      <c r="B543" s="43"/>
      <c r="D543" s="476"/>
      <c r="E543" s="518"/>
      <c r="F543" s="284"/>
      <c r="G543" s="47" t="s">
        <v>37</v>
      </c>
      <c r="H543" s="286"/>
      <c r="I543" s="194" t="s">
        <v>38</v>
      </c>
      <c r="J543" s="56">
        <f>SUM(J542)</f>
        <v>4000000</v>
      </c>
      <c r="K543" s="52"/>
      <c r="L543" s="51">
        <f>SUM(J543+K543)</f>
        <v>4000000</v>
      </c>
    </row>
    <row r="544" spans="1:12" x14ac:dyDescent="0.2">
      <c r="B544" s="43"/>
      <c r="D544" s="476"/>
      <c r="E544" s="518"/>
      <c r="F544" s="284"/>
      <c r="G544" s="41"/>
      <c r="H544" s="284"/>
      <c r="I544" s="202" t="s">
        <v>710</v>
      </c>
      <c r="J544" s="52">
        <f>SUM(J543:J543)</f>
        <v>4000000</v>
      </c>
      <c r="K544" s="52"/>
      <c r="L544" s="52">
        <f>SUM(L543:L543)</f>
        <v>4000000</v>
      </c>
    </row>
    <row r="545" spans="1:16" x14ac:dyDescent="0.2">
      <c r="A545" s="582"/>
      <c r="B545" s="583"/>
      <c r="C545" s="583"/>
      <c r="D545" s="562"/>
      <c r="E545" s="563"/>
      <c r="F545" s="407"/>
      <c r="G545" s="294"/>
      <c r="H545" s="584"/>
      <c r="I545" s="239"/>
      <c r="J545" s="27"/>
      <c r="K545" s="28"/>
      <c r="L545" s="53"/>
    </row>
    <row r="546" spans="1:16" x14ac:dyDescent="0.2">
      <c r="A546" s="43"/>
      <c r="B546" s="43"/>
      <c r="C546" s="43">
        <v>630</v>
      </c>
      <c r="D546" s="43"/>
      <c r="E546" s="518"/>
      <c r="F546" s="284"/>
      <c r="G546" s="41"/>
      <c r="H546" s="284"/>
      <c r="I546" s="260" t="s">
        <v>107</v>
      </c>
      <c r="J546" s="67"/>
      <c r="K546" s="67"/>
      <c r="L546" s="192"/>
    </row>
    <row r="547" spans="1:16" x14ac:dyDescent="0.2">
      <c r="B547" s="43"/>
      <c r="D547" s="476"/>
      <c r="E547" s="518"/>
      <c r="F547" s="284"/>
      <c r="G547" s="41"/>
      <c r="H547" s="284"/>
      <c r="I547" s="24"/>
      <c r="J547" s="27"/>
      <c r="K547" s="27"/>
      <c r="L547" s="53"/>
    </row>
    <row r="548" spans="1:16" x14ac:dyDescent="0.2">
      <c r="A548" s="476"/>
      <c r="B548" s="43"/>
      <c r="D548" s="476"/>
      <c r="E548" s="520" t="s">
        <v>454</v>
      </c>
      <c r="F548" s="358"/>
      <c r="G548" s="307"/>
      <c r="H548" s="358"/>
      <c r="I548" s="368" t="s">
        <v>907</v>
      </c>
      <c r="J548" s="234"/>
      <c r="K548" s="337"/>
      <c r="L548" s="49"/>
    </row>
    <row r="549" spans="1:16" x14ac:dyDescent="0.2">
      <c r="A549" s="476"/>
      <c r="B549" s="43"/>
      <c r="D549" s="476"/>
      <c r="E549" s="521"/>
      <c r="F549" s="406">
        <v>92</v>
      </c>
      <c r="G549" s="203"/>
      <c r="H549" s="406">
        <v>511</v>
      </c>
      <c r="I549" s="262" t="s">
        <v>20</v>
      </c>
      <c r="J549" s="56">
        <v>20000000</v>
      </c>
      <c r="K549" s="225"/>
      <c r="L549" s="51">
        <f>SUM(J549+K549)</f>
        <v>20000000</v>
      </c>
    </row>
    <row r="550" spans="1:16" x14ac:dyDescent="0.2">
      <c r="A550" s="476"/>
      <c r="B550" s="43"/>
      <c r="D550" s="476"/>
      <c r="E550" s="521"/>
      <c r="F550" s="406"/>
      <c r="G550" s="203"/>
      <c r="H550" s="406"/>
      <c r="I550" s="202" t="s">
        <v>710</v>
      </c>
      <c r="J550" s="48">
        <f>SUM(J549:J549)</f>
        <v>20000000</v>
      </c>
      <c r="K550" s="48"/>
      <c r="L550" s="48">
        <f>SUM(L549:L549)</f>
        <v>20000000</v>
      </c>
    </row>
    <row r="551" spans="1:16" x14ac:dyDescent="0.2">
      <c r="B551" s="476"/>
      <c r="D551" s="476"/>
      <c r="E551" s="521"/>
      <c r="F551" s="406"/>
      <c r="G551" s="227" t="s">
        <v>37</v>
      </c>
      <c r="H551" s="286"/>
      <c r="I551" s="262" t="s">
        <v>38</v>
      </c>
      <c r="J551" s="56">
        <f>SUM(J550-J552)</f>
        <v>7550000</v>
      </c>
      <c r="K551" s="51"/>
      <c r="L551" s="51">
        <f>SUM(J551+K551)</f>
        <v>7550000</v>
      </c>
    </row>
    <row r="552" spans="1:16" x14ac:dyDescent="0.2">
      <c r="B552" s="476"/>
      <c r="D552" s="476"/>
      <c r="E552" s="521"/>
      <c r="F552" s="406"/>
      <c r="G552" s="227" t="s">
        <v>113</v>
      </c>
      <c r="H552" s="286"/>
      <c r="I552" s="262" t="s">
        <v>280</v>
      </c>
      <c r="J552" s="56">
        <v>12450000</v>
      </c>
      <c r="K552" s="51"/>
      <c r="L552" s="51">
        <f>SUM(J552+K552)</f>
        <v>12450000</v>
      </c>
    </row>
    <row r="553" spans="1:16" x14ac:dyDescent="0.2">
      <c r="A553" s="614"/>
      <c r="B553" s="474"/>
      <c r="C553" s="160"/>
      <c r="D553" s="474"/>
      <c r="E553" s="518"/>
      <c r="F553" s="292"/>
      <c r="G553" s="70"/>
      <c r="H553" s="292"/>
      <c r="I553" s="637"/>
      <c r="J553" s="223"/>
      <c r="K553" s="223"/>
      <c r="L553" s="224"/>
    </row>
    <row r="554" spans="1:16" ht="33.75" x14ac:dyDescent="0.2">
      <c r="A554" s="614"/>
      <c r="B554" s="474"/>
      <c r="C554" s="160"/>
      <c r="D554" s="474"/>
      <c r="E554" s="520">
        <v>1102</v>
      </c>
      <c r="F554" s="405"/>
      <c r="G554" s="372"/>
      <c r="H554" s="424"/>
      <c r="I554" s="373" t="s">
        <v>901</v>
      </c>
      <c r="J554" s="331"/>
      <c r="K554" s="331"/>
      <c r="L554" s="332"/>
    </row>
    <row r="555" spans="1:16" x14ac:dyDescent="0.2">
      <c r="A555" s="614"/>
      <c r="B555" s="474"/>
      <c r="C555" s="160"/>
      <c r="D555" s="474"/>
      <c r="E555" s="518"/>
      <c r="F555" s="292">
        <v>93</v>
      </c>
      <c r="G555" s="70"/>
      <c r="H555" s="292">
        <v>511</v>
      </c>
      <c r="I555" s="248" t="s">
        <v>20</v>
      </c>
      <c r="J555" s="46">
        <v>25389007</v>
      </c>
      <c r="K555" s="174"/>
      <c r="L555" s="46">
        <f>SUM(J555:K555)</f>
        <v>25389007</v>
      </c>
    </row>
    <row r="556" spans="1:16" x14ac:dyDescent="0.2">
      <c r="A556" s="614"/>
      <c r="B556" s="474"/>
      <c r="C556" s="160"/>
      <c r="D556" s="474"/>
      <c r="E556" s="518"/>
      <c r="F556" s="292"/>
      <c r="G556" s="291" t="s">
        <v>37</v>
      </c>
      <c r="H556" s="425"/>
      <c r="I556" s="248" t="s">
        <v>38</v>
      </c>
      <c r="J556" s="46">
        <f>SUM(J558-J557)</f>
        <v>11171163.08</v>
      </c>
      <c r="K556" s="174"/>
      <c r="L556" s="46">
        <f>SUM(J556:K556)</f>
        <v>11171163.08</v>
      </c>
      <c r="N556" s="16"/>
      <c r="P556" s="833"/>
    </row>
    <row r="557" spans="1:16" x14ac:dyDescent="0.2">
      <c r="A557" s="614"/>
      <c r="B557" s="474"/>
      <c r="C557" s="160"/>
      <c r="D557" s="474"/>
      <c r="E557" s="518"/>
      <c r="F557" s="292"/>
      <c r="G557" s="291" t="s">
        <v>113</v>
      </c>
      <c r="H557" s="425"/>
      <c r="I557" s="248" t="s">
        <v>280</v>
      </c>
      <c r="J557" s="46">
        <v>14217843.92</v>
      </c>
      <c r="K557" s="174"/>
      <c r="L557" s="46">
        <f>SUM(J557:K557)</f>
        <v>14217843.92</v>
      </c>
      <c r="N557" s="16"/>
      <c r="P557" s="833"/>
    </row>
    <row r="558" spans="1:16" x14ac:dyDescent="0.2">
      <c r="A558" s="614"/>
      <c r="B558" s="474"/>
      <c r="C558" s="160"/>
      <c r="D558" s="474"/>
      <c r="E558" s="518"/>
      <c r="F558" s="292"/>
      <c r="G558" s="70"/>
      <c r="H558" s="292"/>
      <c r="I558" s="263" t="s">
        <v>710</v>
      </c>
      <c r="J558" s="174">
        <f>SUM(J555)</f>
        <v>25389007</v>
      </c>
      <c r="K558" s="174"/>
      <c r="L558" s="174">
        <f>SUM(J558:K558)</f>
        <v>25389007</v>
      </c>
      <c r="N558" s="16"/>
    </row>
    <row r="559" spans="1:16" x14ac:dyDescent="0.2">
      <c r="A559" s="334"/>
      <c r="B559" s="401"/>
      <c r="C559" s="401"/>
      <c r="D559" s="478"/>
      <c r="E559" s="521"/>
      <c r="F559" s="406"/>
      <c r="G559" s="203"/>
      <c r="H559" s="432"/>
      <c r="I559" s="17"/>
      <c r="J559" s="27"/>
      <c r="K559" s="27"/>
      <c r="L559" s="53"/>
      <c r="N559" s="16"/>
    </row>
    <row r="560" spans="1:16" s="863" customFormat="1" ht="67.5" x14ac:dyDescent="0.2">
      <c r="A560" s="853"/>
      <c r="B560" s="854"/>
      <c r="C560" s="855"/>
      <c r="D560" s="854"/>
      <c r="E560" s="856">
        <v>1102</v>
      </c>
      <c r="F560" s="857"/>
      <c r="G560" s="858"/>
      <c r="H560" s="859"/>
      <c r="I560" s="860" t="s">
        <v>1032</v>
      </c>
      <c r="J560" s="843"/>
      <c r="K560" s="843"/>
      <c r="L560" s="844"/>
      <c r="M560" s="1012"/>
      <c r="N560" s="862"/>
      <c r="O560" s="861"/>
      <c r="P560" s="59"/>
    </row>
    <row r="561" spans="1:16" s="863" customFormat="1" x14ac:dyDescent="0.2">
      <c r="A561" s="853"/>
      <c r="B561" s="854"/>
      <c r="C561" s="855"/>
      <c r="D561" s="854"/>
      <c r="E561" s="864"/>
      <c r="F561" s="865" t="s">
        <v>1055</v>
      </c>
      <c r="G561" s="866"/>
      <c r="H561" s="865">
        <v>511</v>
      </c>
      <c r="I561" s="867" t="s">
        <v>20</v>
      </c>
      <c r="J561" s="842">
        <v>28303721.93</v>
      </c>
      <c r="K561" s="850"/>
      <c r="L561" s="842">
        <f>SUM(J561:K561)</f>
        <v>28303721.93</v>
      </c>
      <c r="M561" s="1012"/>
      <c r="N561" s="862"/>
      <c r="O561" s="861"/>
      <c r="P561" s="59"/>
    </row>
    <row r="562" spans="1:16" s="863" customFormat="1" x14ac:dyDescent="0.2">
      <c r="A562" s="853"/>
      <c r="B562" s="854"/>
      <c r="C562" s="855"/>
      <c r="D562" s="854"/>
      <c r="E562" s="864"/>
      <c r="F562" s="865"/>
      <c r="G562" s="868" t="s">
        <v>37</v>
      </c>
      <c r="H562" s="869"/>
      <c r="I562" s="867" t="s">
        <v>38</v>
      </c>
      <c r="J562" s="842">
        <f>J564-J563</f>
        <v>8774153.8000000007</v>
      </c>
      <c r="K562" s="850"/>
      <c r="L562" s="842">
        <f>SUM(J562:K562)</f>
        <v>8774153.8000000007</v>
      </c>
      <c r="M562" s="1012"/>
      <c r="N562" s="861"/>
      <c r="O562" s="861"/>
      <c r="P562" s="870"/>
    </row>
    <row r="563" spans="1:16" s="863" customFormat="1" x14ac:dyDescent="0.2">
      <c r="A563" s="853"/>
      <c r="B563" s="854"/>
      <c r="C563" s="855"/>
      <c r="D563" s="854"/>
      <c r="E563" s="864"/>
      <c r="F563" s="865"/>
      <c r="G563" s="868" t="s">
        <v>113</v>
      </c>
      <c r="H563" s="869"/>
      <c r="I563" s="867" t="s">
        <v>280</v>
      </c>
      <c r="J563" s="842">
        <v>19529568.129999999</v>
      </c>
      <c r="K563" s="850"/>
      <c r="L563" s="842">
        <f>SUM(J563:K563)</f>
        <v>19529568.129999999</v>
      </c>
      <c r="M563" s="1012"/>
      <c r="N563" s="861"/>
      <c r="O563" s="861"/>
      <c r="P563" s="870"/>
    </row>
    <row r="564" spans="1:16" s="863" customFormat="1" x14ac:dyDescent="0.2">
      <c r="A564" s="853"/>
      <c r="B564" s="854"/>
      <c r="C564" s="855"/>
      <c r="D564" s="854"/>
      <c r="E564" s="864"/>
      <c r="F564" s="865"/>
      <c r="G564" s="866"/>
      <c r="H564" s="865"/>
      <c r="I564" s="871" t="s">
        <v>710</v>
      </c>
      <c r="J564" s="850">
        <v>28303721.93</v>
      </c>
      <c r="K564" s="850"/>
      <c r="L564" s="850">
        <f>SUM(J564:K564)</f>
        <v>28303721.93</v>
      </c>
      <c r="M564" s="1012"/>
      <c r="N564" s="861"/>
      <c r="O564" s="861"/>
      <c r="P564" s="59"/>
    </row>
    <row r="565" spans="1:16" x14ac:dyDescent="0.2">
      <c r="B565" s="43"/>
      <c r="C565" s="43">
        <v>620</v>
      </c>
      <c r="D565" s="477"/>
      <c r="E565" s="518"/>
      <c r="F565" s="284"/>
      <c r="G565" s="41"/>
      <c r="H565" s="286"/>
      <c r="I565" s="260" t="s">
        <v>105</v>
      </c>
      <c r="J565" s="299"/>
      <c r="K565" s="299"/>
      <c r="L565" s="49"/>
      <c r="N565" s="16"/>
    </row>
    <row r="566" spans="1:16" x14ac:dyDescent="0.2">
      <c r="B566" s="43"/>
      <c r="D566" s="477"/>
      <c r="E566" s="518"/>
      <c r="F566" s="284"/>
      <c r="G566" s="41"/>
      <c r="H566" s="286"/>
      <c r="I566" s="206"/>
      <c r="J566" s="27"/>
      <c r="K566" s="27"/>
      <c r="L566" s="53"/>
    </row>
    <row r="567" spans="1:16" ht="22.5" x14ac:dyDescent="0.2">
      <c r="B567" s="43"/>
      <c r="D567" s="477"/>
      <c r="E567" s="520" t="s">
        <v>454</v>
      </c>
      <c r="F567" s="358"/>
      <c r="G567" s="307"/>
      <c r="H567" s="360"/>
      <c r="I567" s="309" t="s">
        <v>902</v>
      </c>
      <c r="J567" s="229"/>
      <c r="K567" s="229"/>
      <c r="L567" s="137"/>
    </row>
    <row r="568" spans="1:16" s="165" customFormat="1" x14ac:dyDescent="0.2">
      <c r="A568" s="648"/>
      <c r="B568" s="583"/>
      <c r="C568" s="583"/>
      <c r="D568" s="800"/>
      <c r="E568" s="563"/>
      <c r="F568" s="792" t="s">
        <v>997</v>
      </c>
      <c r="G568" s="793"/>
      <c r="H568" s="794" t="s">
        <v>46</v>
      </c>
      <c r="I568" s="802" t="s">
        <v>10</v>
      </c>
      <c r="J568" s="797">
        <v>200000</v>
      </c>
      <c r="K568" s="797"/>
      <c r="L568" s="797">
        <f>SUM(J568:K568)</f>
        <v>200000</v>
      </c>
      <c r="M568" s="1014"/>
      <c r="N568" s="163"/>
      <c r="O568" s="163"/>
      <c r="P568" s="832"/>
    </row>
    <row r="569" spans="1:16" x14ac:dyDescent="0.2">
      <c r="B569" s="43"/>
      <c r="D569" s="477"/>
      <c r="E569" s="518"/>
      <c r="F569" s="284">
        <v>94</v>
      </c>
      <c r="G569" s="41"/>
      <c r="H569" s="285" t="s">
        <v>270</v>
      </c>
      <c r="I569" s="194" t="s">
        <v>20</v>
      </c>
      <c r="J569" s="51">
        <v>3275000</v>
      </c>
      <c r="K569" s="51"/>
      <c r="L569" s="51">
        <f>SUM(J569:K569)</f>
        <v>3275000</v>
      </c>
    </row>
    <row r="570" spans="1:16" x14ac:dyDescent="0.2">
      <c r="B570" s="43"/>
      <c r="D570" s="477"/>
      <c r="E570" s="518"/>
      <c r="F570" s="284"/>
      <c r="G570" s="47" t="s">
        <v>37</v>
      </c>
      <c r="H570" s="286"/>
      <c r="I570" s="194" t="s">
        <v>38</v>
      </c>
      <c r="J570" s="51">
        <f>SUM(J572-J571)</f>
        <v>1975000</v>
      </c>
      <c r="K570" s="51"/>
      <c r="L570" s="51">
        <f t="shared" ref="L570:L572" si="36">SUM(J570:K570)</f>
        <v>1975000</v>
      </c>
    </row>
    <row r="571" spans="1:16" x14ac:dyDescent="0.2">
      <c r="B571" s="43"/>
      <c r="D571" s="477"/>
      <c r="E571" s="518"/>
      <c r="F571" s="284"/>
      <c r="G571" s="291" t="s">
        <v>113</v>
      </c>
      <c r="H571" s="425"/>
      <c r="I571" s="248" t="s">
        <v>280</v>
      </c>
      <c r="J571" s="46">
        <v>1500000</v>
      </c>
      <c r="K571" s="52"/>
      <c r="L571" s="51">
        <f t="shared" si="36"/>
        <v>1500000</v>
      </c>
    </row>
    <row r="572" spans="1:16" x14ac:dyDescent="0.2">
      <c r="B572" s="43"/>
      <c r="D572" s="477"/>
      <c r="E572" s="518"/>
      <c r="F572" s="284"/>
      <c r="G572" s="41"/>
      <c r="H572" s="285"/>
      <c r="I572" s="202" t="s">
        <v>710</v>
      </c>
      <c r="J572" s="52">
        <f>SUM(J568:J569)</f>
        <v>3475000</v>
      </c>
      <c r="K572" s="52"/>
      <c r="L572" s="52">
        <f t="shared" si="36"/>
        <v>3475000</v>
      </c>
    </row>
    <row r="573" spans="1:16" x14ac:dyDescent="0.2">
      <c r="B573" s="43"/>
      <c r="D573" s="477"/>
      <c r="E573" s="518"/>
      <c r="F573" s="284"/>
      <c r="G573" s="41"/>
      <c r="H573" s="286"/>
      <c r="I573" s="206"/>
      <c r="J573" s="27"/>
      <c r="K573" s="27"/>
      <c r="L573" s="53"/>
    </row>
    <row r="574" spans="1:16" ht="22.5" x14ac:dyDescent="0.2">
      <c r="B574" s="43"/>
      <c r="D574" s="477"/>
      <c r="E574" s="520" t="s">
        <v>454</v>
      </c>
      <c r="F574" s="358"/>
      <c r="G574" s="307"/>
      <c r="H574" s="360"/>
      <c r="I574" s="309" t="s">
        <v>903</v>
      </c>
      <c r="J574" s="229"/>
      <c r="K574" s="229"/>
      <c r="L574" s="137"/>
    </row>
    <row r="575" spans="1:16" x14ac:dyDescent="0.2">
      <c r="B575" s="43"/>
      <c r="D575" s="477"/>
      <c r="E575" s="518"/>
      <c r="F575" s="284">
        <v>95</v>
      </c>
      <c r="G575" s="41"/>
      <c r="H575" s="285" t="s">
        <v>270</v>
      </c>
      <c r="I575" s="194" t="s">
        <v>20</v>
      </c>
      <c r="J575" s="51">
        <v>2380000</v>
      </c>
      <c r="K575" s="51"/>
      <c r="L575" s="51">
        <f>SUM(J575:K575)</f>
        <v>2380000</v>
      </c>
    </row>
    <row r="576" spans="1:16" x14ac:dyDescent="0.2">
      <c r="B576" s="43"/>
      <c r="D576" s="477"/>
      <c r="E576" s="518"/>
      <c r="F576" s="284"/>
      <c r="G576" s="47" t="s">
        <v>37</v>
      </c>
      <c r="H576" s="286"/>
      <c r="I576" s="194" t="s">
        <v>38</v>
      </c>
      <c r="J576" s="51">
        <f>SUM(J575)</f>
        <v>2380000</v>
      </c>
      <c r="K576" s="51"/>
      <c r="L576" s="51">
        <f>SUM(J576:K576)</f>
        <v>2380000</v>
      </c>
    </row>
    <row r="577" spans="1:16" x14ac:dyDescent="0.2">
      <c r="B577" s="43"/>
      <c r="D577" s="477"/>
      <c r="E577" s="518"/>
      <c r="F577" s="284"/>
      <c r="G577" s="41"/>
      <c r="H577" s="285"/>
      <c r="I577" s="202" t="s">
        <v>710</v>
      </c>
      <c r="J577" s="52">
        <f>SUM(J575)</f>
        <v>2380000</v>
      </c>
      <c r="K577" s="52"/>
      <c r="L577" s="52">
        <f>SUM(J577:K577)</f>
        <v>2380000</v>
      </c>
    </row>
    <row r="578" spans="1:16" x14ac:dyDescent="0.2">
      <c r="B578" s="43"/>
      <c r="D578" s="477"/>
      <c r="E578" s="518"/>
      <c r="F578" s="284"/>
      <c r="G578" s="41"/>
      <c r="H578" s="286"/>
      <c r="I578" s="206"/>
      <c r="J578" s="27"/>
      <c r="K578" s="27"/>
      <c r="L578" s="53"/>
    </row>
    <row r="579" spans="1:16" ht="22.5" x14ac:dyDescent="0.2">
      <c r="B579" s="43"/>
      <c r="D579" s="477"/>
      <c r="E579" s="520" t="s">
        <v>454</v>
      </c>
      <c r="F579" s="358"/>
      <c r="G579" s="307"/>
      <c r="H579" s="360"/>
      <c r="I579" s="309" t="s">
        <v>904</v>
      </c>
      <c r="J579" s="229"/>
      <c r="K579" s="229"/>
      <c r="L579" s="137"/>
    </row>
    <row r="580" spans="1:16" x14ac:dyDescent="0.2">
      <c r="B580" s="43"/>
      <c r="D580" s="477"/>
      <c r="E580" s="518"/>
      <c r="F580" s="284">
        <v>96</v>
      </c>
      <c r="G580" s="41"/>
      <c r="H580" s="285" t="s">
        <v>270</v>
      </c>
      <c r="I580" s="194" t="s">
        <v>20</v>
      </c>
      <c r="J580" s="51">
        <v>748000</v>
      </c>
      <c r="K580" s="51"/>
      <c r="L580" s="51">
        <f>SUM(J580:K580)</f>
        <v>748000</v>
      </c>
    </row>
    <row r="581" spans="1:16" x14ac:dyDescent="0.2">
      <c r="B581" s="43"/>
      <c r="D581" s="477"/>
      <c r="E581" s="518"/>
      <c r="F581" s="284"/>
      <c r="G581" s="47" t="s">
        <v>37</v>
      </c>
      <c r="H581" s="286"/>
      <c r="I581" s="194" t="s">
        <v>38</v>
      </c>
      <c r="J581" s="51">
        <f>SUM(J580)</f>
        <v>748000</v>
      </c>
      <c r="K581" s="51"/>
      <c r="L581" s="51">
        <f>SUM(J581:K581)</f>
        <v>748000</v>
      </c>
    </row>
    <row r="582" spans="1:16" x14ac:dyDescent="0.2">
      <c r="B582" s="43"/>
      <c r="D582" s="477"/>
      <c r="E582" s="518"/>
      <c r="F582" s="284"/>
      <c r="G582" s="41"/>
      <c r="H582" s="285"/>
      <c r="I582" s="202" t="s">
        <v>710</v>
      </c>
      <c r="J582" s="52">
        <f>SUM(J580)</f>
        <v>748000</v>
      </c>
      <c r="K582" s="52"/>
      <c r="L582" s="52">
        <f>SUM(J582:K582)</f>
        <v>748000</v>
      </c>
    </row>
    <row r="583" spans="1:16" x14ac:dyDescent="0.2">
      <c r="B583" s="43"/>
      <c r="D583" s="477"/>
      <c r="E583" s="518"/>
      <c r="F583" s="284"/>
      <c r="G583" s="41"/>
      <c r="H583" s="286"/>
      <c r="I583" s="206"/>
      <c r="J583" s="27"/>
    </row>
    <row r="584" spans="1:16" ht="22.5" x14ac:dyDescent="0.2">
      <c r="B584" s="43"/>
      <c r="D584" s="477"/>
      <c r="E584" s="520" t="s">
        <v>454</v>
      </c>
      <c r="F584" s="358"/>
      <c r="G584" s="307"/>
      <c r="H584" s="360"/>
      <c r="I584" s="309" t="s">
        <v>908</v>
      </c>
      <c r="J584" s="229"/>
      <c r="K584" s="229"/>
      <c r="L584" s="137"/>
    </row>
    <row r="585" spans="1:16" s="165" customFormat="1" x14ac:dyDescent="0.2">
      <c r="A585" s="648"/>
      <c r="B585" s="583"/>
      <c r="C585" s="583"/>
      <c r="D585" s="800"/>
      <c r="E585" s="563"/>
      <c r="F585" s="792" t="s">
        <v>996</v>
      </c>
      <c r="G585" s="793"/>
      <c r="H585" s="794" t="s">
        <v>46</v>
      </c>
      <c r="I585" s="802" t="s">
        <v>10</v>
      </c>
      <c r="J585" s="797">
        <v>200000</v>
      </c>
      <c r="K585" s="797"/>
      <c r="L585" s="797">
        <f>SUM(J585:K585)</f>
        <v>200000</v>
      </c>
      <c r="M585" s="1014"/>
      <c r="N585" s="834"/>
      <c r="O585" s="163"/>
      <c r="P585" s="832"/>
    </row>
    <row r="586" spans="1:16" x14ac:dyDescent="0.2">
      <c r="B586" s="43"/>
      <c r="D586" s="477"/>
      <c r="E586" s="518"/>
      <c r="F586" s="284">
        <v>97</v>
      </c>
      <c r="G586" s="41"/>
      <c r="H586" s="285" t="s">
        <v>270</v>
      </c>
      <c r="I586" s="194" t="s">
        <v>20</v>
      </c>
      <c r="J586" s="51">
        <v>2260000</v>
      </c>
      <c r="K586" s="51"/>
      <c r="L586" s="51">
        <f>SUM(J586:K586)</f>
        <v>2260000</v>
      </c>
      <c r="N586" s="845"/>
    </row>
    <row r="587" spans="1:16" x14ac:dyDescent="0.2">
      <c r="B587" s="43"/>
      <c r="D587" s="477"/>
      <c r="E587" s="518"/>
      <c r="F587" s="284"/>
      <c r="G587" s="47" t="s">
        <v>37</v>
      </c>
      <c r="H587" s="286"/>
      <c r="I587" s="194" t="s">
        <v>38</v>
      </c>
      <c r="J587" s="51">
        <f>SUM(J585:J586)</f>
        <v>2460000</v>
      </c>
      <c r="K587" s="51"/>
      <c r="L587" s="51">
        <f>SUM(J587:K587)</f>
        <v>2460000</v>
      </c>
    </row>
    <row r="588" spans="1:16" x14ac:dyDescent="0.2">
      <c r="B588" s="43"/>
      <c r="D588" s="477"/>
      <c r="E588" s="518"/>
      <c r="F588" s="284"/>
      <c r="G588" s="41"/>
      <c r="H588" s="285"/>
      <c r="I588" s="202" t="s">
        <v>710</v>
      </c>
      <c r="J588" s="52">
        <f>SUM(J587)</f>
        <v>2460000</v>
      </c>
      <c r="K588" s="52"/>
      <c r="L588" s="52">
        <f>SUM(L587)</f>
        <v>2460000</v>
      </c>
    </row>
    <row r="589" spans="1:16" x14ac:dyDescent="0.2">
      <c r="B589" s="43"/>
      <c r="D589" s="477"/>
      <c r="E589" s="518"/>
      <c r="F589" s="284"/>
      <c r="G589" s="41"/>
      <c r="H589" s="285"/>
      <c r="I589" s="641"/>
      <c r="J589" s="355"/>
      <c r="K589" s="642"/>
      <c r="L589" s="355"/>
    </row>
    <row r="590" spans="1:16" ht="22.5" x14ac:dyDescent="0.2">
      <c r="B590" s="43"/>
      <c r="D590" s="477"/>
      <c r="E590" s="520" t="s">
        <v>454</v>
      </c>
      <c r="F590" s="358"/>
      <c r="G590" s="307"/>
      <c r="H590" s="360"/>
      <c r="I590" s="309" t="s">
        <v>909</v>
      </c>
      <c r="J590" s="199"/>
      <c r="K590" s="199"/>
      <c r="L590" s="200"/>
    </row>
    <row r="591" spans="1:16" x14ac:dyDescent="0.2">
      <c r="B591" s="43"/>
      <c r="D591" s="477"/>
      <c r="E591" s="518"/>
      <c r="F591" s="284">
        <v>98</v>
      </c>
      <c r="G591" s="41"/>
      <c r="H591" s="285" t="s">
        <v>270</v>
      </c>
      <c r="I591" s="194" t="s">
        <v>20</v>
      </c>
      <c r="J591" s="51">
        <v>500000</v>
      </c>
      <c r="K591" s="51"/>
      <c r="L591" s="51">
        <f>SUM(J591:K591)</f>
        <v>500000</v>
      </c>
    </row>
    <row r="592" spans="1:16" x14ac:dyDescent="0.2">
      <c r="B592" s="43"/>
      <c r="D592" s="477"/>
      <c r="E592" s="518"/>
      <c r="F592" s="284"/>
      <c r="G592" s="47" t="s">
        <v>37</v>
      </c>
      <c r="H592" s="286"/>
      <c r="I592" s="194" t="s">
        <v>38</v>
      </c>
      <c r="J592" s="52">
        <f>SUM(J591:J591)</f>
        <v>500000</v>
      </c>
      <c r="K592" s="52"/>
      <c r="L592" s="52">
        <f>SUM(J591:K591)</f>
        <v>500000</v>
      </c>
    </row>
    <row r="593" spans="2:12" x14ac:dyDescent="0.2">
      <c r="B593" s="43"/>
      <c r="D593" s="477"/>
      <c r="E593" s="518"/>
      <c r="F593" s="284"/>
      <c r="G593" s="41"/>
      <c r="H593" s="285"/>
      <c r="I593" s="202" t="s">
        <v>710</v>
      </c>
      <c r="J593" s="52">
        <f>SUM(J592)</f>
        <v>500000</v>
      </c>
      <c r="K593" s="52"/>
      <c r="L593" s="52">
        <f>SUM(L592)</f>
        <v>500000</v>
      </c>
    </row>
    <row r="594" spans="2:12" x14ac:dyDescent="0.2">
      <c r="B594" s="43"/>
      <c r="D594" s="477"/>
      <c r="E594" s="518"/>
      <c r="F594" s="284"/>
      <c r="G594" s="41"/>
      <c r="H594" s="285"/>
      <c r="I594" s="17"/>
      <c r="J594" s="27"/>
      <c r="K594" s="27"/>
      <c r="L594" s="53"/>
    </row>
    <row r="595" spans="2:12" ht="22.5" x14ac:dyDescent="0.2">
      <c r="B595" s="43"/>
      <c r="D595" s="477"/>
      <c r="E595" s="520" t="s">
        <v>454</v>
      </c>
      <c r="F595" s="358"/>
      <c r="G595" s="307"/>
      <c r="H595" s="426"/>
      <c r="I595" s="777" t="s">
        <v>910</v>
      </c>
      <c r="J595" s="338"/>
      <c r="K595" s="338"/>
      <c r="L595" s="339"/>
    </row>
    <row r="596" spans="2:12" x14ac:dyDescent="0.2">
      <c r="B596" s="43"/>
      <c r="D596" s="477"/>
      <c r="E596" s="518"/>
      <c r="F596" s="284">
        <v>99</v>
      </c>
      <c r="G596" s="41"/>
      <c r="H596" s="427" t="s">
        <v>270</v>
      </c>
      <c r="I596" s="250" t="s">
        <v>20</v>
      </c>
      <c r="J596" s="989">
        <v>1</v>
      </c>
      <c r="K596" s="989"/>
      <c r="L596" s="989">
        <f>SUM(J596:K596)</f>
        <v>1</v>
      </c>
    </row>
    <row r="597" spans="2:12" x14ac:dyDescent="0.2">
      <c r="B597" s="43"/>
      <c r="D597" s="477"/>
      <c r="E597" s="518"/>
      <c r="F597" s="284"/>
      <c r="G597" s="230" t="s">
        <v>37</v>
      </c>
      <c r="H597" s="286"/>
      <c r="I597" s="250" t="s">
        <v>38</v>
      </c>
      <c r="J597" s="989">
        <f>SUM(J596:J596)</f>
        <v>1</v>
      </c>
      <c r="K597" s="989"/>
      <c r="L597" s="989">
        <f>SUM(J596:K596)</f>
        <v>1</v>
      </c>
    </row>
    <row r="598" spans="2:12" x14ac:dyDescent="0.2">
      <c r="B598" s="43"/>
      <c r="D598" s="477"/>
      <c r="E598" s="518"/>
      <c r="F598" s="284"/>
      <c r="G598" s="41"/>
      <c r="H598" s="428"/>
      <c r="I598" s="264" t="s">
        <v>710</v>
      </c>
      <c r="J598" s="990">
        <f>SUM(J597)</f>
        <v>1</v>
      </c>
      <c r="K598" s="990"/>
      <c r="L598" s="990">
        <f>SUM(J597:K597)</f>
        <v>1</v>
      </c>
    </row>
    <row r="599" spans="2:12" x14ac:dyDescent="0.2">
      <c r="B599" s="43"/>
      <c r="D599" s="477"/>
      <c r="E599" s="518"/>
      <c r="F599" s="284"/>
      <c r="G599" s="41"/>
      <c r="H599" s="428"/>
      <c r="I599" s="643"/>
      <c r="J599" s="198"/>
      <c r="K599" s="198"/>
      <c r="L599" s="644"/>
    </row>
    <row r="600" spans="2:12" ht="33.75" x14ac:dyDescent="0.2">
      <c r="B600" s="43"/>
      <c r="D600" s="477"/>
      <c r="E600" s="520" t="s">
        <v>454</v>
      </c>
      <c r="F600" s="358"/>
      <c r="G600" s="307"/>
      <c r="H600" s="426"/>
      <c r="I600" s="777" t="s">
        <v>911</v>
      </c>
      <c r="J600" s="338"/>
      <c r="K600" s="338"/>
      <c r="L600" s="339"/>
    </row>
    <row r="601" spans="2:12" x14ac:dyDescent="0.2">
      <c r="B601" s="43"/>
      <c r="D601" s="477"/>
      <c r="E601" s="518"/>
      <c r="F601" s="284">
        <v>100</v>
      </c>
      <c r="G601" s="41"/>
      <c r="H601" s="427" t="s">
        <v>270</v>
      </c>
      <c r="I601" s="250" t="s">
        <v>20</v>
      </c>
      <c r="J601" s="56">
        <v>1000000</v>
      </c>
      <c r="K601" s="56"/>
      <c r="L601" s="56">
        <f>SUM(J601:K601)</f>
        <v>1000000</v>
      </c>
    </row>
    <row r="602" spans="2:12" x14ac:dyDescent="0.2">
      <c r="B602" s="43"/>
      <c r="D602" s="477"/>
      <c r="E602" s="518"/>
      <c r="F602" s="284"/>
      <c r="G602" s="230" t="s">
        <v>37</v>
      </c>
      <c r="H602" s="286"/>
      <c r="I602" s="250" t="s">
        <v>38</v>
      </c>
      <c r="J602" s="56">
        <f>SUM(J601:J601)</f>
        <v>1000000</v>
      </c>
      <c r="K602" s="56"/>
      <c r="L602" s="56">
        <f>SUM(J601:K601)</f>
        <v>1000000</v>
      </c>
    </row>
    <row r="603" spans="2:12" x14ac:dyDescent="0.2">
      <c r="B603" s="43"/>
      <c r="D603" s="477"/>
      <c r="E603" s="518"/>
      <c r="F603" s="284"/>
      <c r="G603" s="41"/>
      <c r="H603" s="428"/>
      <c r="I603" s="264" t="s">
        <v>710</v>
      </c>
      <c r="J603" s="48">
        <f>SUM(J602)</f>
        <v>1000000</v>
      </c>
      <c r="K603" s="48"/>
      <c r="L603" s="231">
        <f>SUM(J602:K602)</f>
        <v>1000000</v>
      </c>
    </row>
    <row r="604" spans="2:12" x14ac:dyDescent="0.2">
      <c r="B604" s="43"/>
      <c r="D604" s="476"/>
      <c r="E604" s="518"/>
      <c r="F604" s="284"/>
      <c r="G604" s="41"/>
      <c r="H604" s="428"/>
      <c r="I604" s="643"/>
      <c r="J604" s="198"/>
      <c r="K604" s="198"/>
      <c r="L604" s="644"/>
    </row>
    <row r="605" spans="2:12" ht="22.5" x14ac:dyDescent="0.2">
      <c r="B605" s="43"/>
      <c r="D605" s="476"/>
      <c r="E605" s="520" t="s">
        <v>454</v>
      </c>
      <c r="F605" s="358"/>
      <c r="G605" s="307"/>
      <c r="H605" s="360"/>
      <c r="I605" s="312" t="s">
        <v>912</v>
      </c>
      <c r="J605" s="232"/>
      <c r="K605" s="71"/>
      <c r="L605" s="233"/>
    </row>
    <row r="606" spans="2:12" x14ac:dyDescent="0.2">
      <c r="B606" s="43"/>
      <c r="D606" s="476"/>
      <c r="E606" s="518"/>
      <c r="F606" s="284">
        <v>101</v>
      </c>
      <c r="G606" s="41"/>
      <c r="H606" s="285" t="s">
        <v>270</v>
      </c>
      <c r="I606" s="194" t="s">
        <v>20</v>
      </c>
      <c r="J606" s="56">
        <v>100000</v>
      </c>
      <c r="K606" s="52"/>
      <c r="L606" s="51">
        <f>SUM(J606:K606)</f>
        <v>100000</v>
      </c>
    </row>
    <row r="607" spans="2:12" x14ac:dyDescent="0.2">
      <c r="B607" s="43"/>
      <c r="D607" s="476"/>
      <c r="E607" s="518"/>
      <c r="F607" s="284"/>
      <c r="G607" s="47" t="s">
        <v>37</v>
      </c>
      <c r="H607" s="286"/>
      <c r="I607" s="194" t="s">
        <v>38</v>
      </c>
      <c r="J607" s="56">
        <f>SUM(J606:J606)</f>
        <v>100000</v>
      </c>
      <c r="K607" s="52"/>
      <c r="L607" s="51">
        <f>SUM(J606:K606)</f>
        <v>100000</v>
      </c>
    </row>
    <row r="608" spans="2:12" x14ac:dyDescent="0.2">
      <c r="B608" s="43"/>
      <c r="D608" s="476"/>
      <c r="E608" s="518"/>
      <c r="F608" s="284"/>
      <c r="G608" s="41"/>
      <c r="H608" s="285"/>
      <c r="I608" s="202" t="s">
        <v>710</v>
      </c>
      <c r="J608" s="48">
        <f>SUM(J607)</f>
        <v>100000</v>
      </c>
      <c r="K608" s="52"/>
      <c r="L608" s="52">
        <f>SUM(L607)</f>
        <v>100000</v>
      </c>
    </row>
    <row r="609" spans="1:16" x14ac:dyDescent="0.2">
      <c r="B609" s="43"/>
      <c r="D609" s="476"/>
      <c r="E609" s="518"/>
      <c r="F609" s="284"/>
      <c r="G609" s="41"/>
      <c r="H609" s="285"/>
      <c r="I609" s="24"/>
      <c r="J609" s="198"/>
      <c r="K609" s="27"/>
      <c r="L609" s="53"/>
    </row>
    <row r="610" spans="1:16" ht="22.5" x14ac:dyDescent="0.2">
      <c r="B610" s="43"/>
      <c r="D610" s="476"/>
      <c r="E610" s="520" t="s">
        <v>454</v>
      </c>
      <c r="F610" s="358"/>
      <c r="G610" s="307"/>
      <c r="H610" s="360"/>
      <c r="I610" s="368" t="s">
        <v>946</v>
      </c>
      <c r="J610" s="234"/>
      <c r="K610" s="299"/>
      <c r="L610" s="49"/>
    </row>
    <row r="611" spans="1:16" s="165" customFormat="1" x14ac:dyDescent="0.2">
      <c r="A611" s="648"/>
      <c r="B611" s="583"/>
      <c r="C611" s="583"/>
      <c r="D611" s="582"/>
      <c r="E611" s="563"/>
      <c r="F611" s="792" t="s">
        <v>995</v>
      </c>
      <c r="G611" s="793"/>
      <c r="H611" s="794" t="s">
        <v>46</v>
      </c>
      <c r="I611" s="802" t="s">
        <v>10</v>
      </c>
      <c r="J611" s="1029">
        <v>1</v>
      </c>
      <c r="K611" s="1029"/>
      <c r="L611" s="1029">
        <f>SUM(J611:K611)</f>
        <v>1</v>
      </c>
      <c r="M611" s="1014"/>
      <c r="N611" s="834"/>
      <c r="O611" s="163"/>
      <c r="P611" s="832"/>
    </row>
    <row r="612" spans="1:16" x14ac:dyDescent="0.2">
      <c r="B612" s="43"/>
      <c r="D612" s="476"/>
      <c r="E612" s="518"/>
      <c r="F612" s="284">
        <v>102</v>
      </c>
      <c r="G612" s="41"/>
      <c r="H612" s="285" t="s">
        <v>270</v>
      </c>
      <c r="I612" s="194" t="s">
        <v>20</v>
      </c>
      <c r="J612" s="989">
        <v>1</v>
      </c>
      <c r="K612" s="957"/>
      <c r="L612" s="956">
        <f>SUM(J612:K612)</f>
        <v>1</v>
      </c>
    </row>
    <row r="613" spans="1:16" x14ac:dyDescent="0.2">
      <c r="B613" s="43"/>
      <c r="D613" s="476"/>
      <c r="E613" s="518"/>
      <c r="F613" s="284"/>
      <c r="G613" s="47" t="s">
        <v>37</v>
      </c>
      <c r="H613" s="286"/>
      <c r="I613" s="194" t="s">
        <v>38</v>
      </c>
      <c r="J613" s="989">
        <f>SUM(J611:J612)</f>
        <v>2</v>
      </c>
      <c r="K613" s="957"/>
      <c r="L613" s="956">
        <f>SUM(J613:K613)</f>
        <v>2</v>
      </c>
    </row>
    <row r="614" spans="1:16" x14ac:dyDescent="0.2">
      <c r="B614" s="43"/>
      <c r="D614" s="476"/>
      <c r="E614" s="518"/>
      <c r="F614" s="284"/>
      <c r="G614" s="41"/>
      <c r="H614" s="285"/>
      <c r="I614" s="202" t="s">
        <v>710</v>
      </c>
      <c r="J614" s="990">
        <f>SUM(J613)</f>
        <v>2</v>
      </c>
      <c r="K614" s="957"/>
      <c r="L614" s="957">
        <f>SUM(L613)</f>
        <v>2</v>
      </c>
    </row>
    <row r="615" spans="1:16" x14ac:dyDescent="0.2">
      <c r="B615" s="43"/>
      <c r="D615" s="476"/>
      <c r="E615" s="518"/>
      <c r="F615" s="284"/>
      <c r="G615" s="41"/>
      <c r="H615" s="285"/>
      <c r="I615" s="24"/>
      <c r="J615" s="198"/>
      <c r="K615" s="27"/>
      <c r="L615" s="53"/>
    </row>
    <row r="616" spans="1:16" ht="22.5" x14ac:dyDescent="0.2">
      <c r="B616" s="43"/>
      <c r="D616" s="476"/>
      <c r="E616" s="520" t="s">
        <v>454</v>
      </c>
      <c r="F616" s="358"/>
      <c r="G616" s="307"/>
      <c r="H616" s="360"/>
      <c r="I616" s="368" t="s">
        <v>913</v>
      </c>
      <c r="J616" s="234"/>
      <c r="K616" s="299"/>
      <c r="L616" s="49"/>
    </row>
    <row r="617" spans="1:16" x14ac:dyDescent="0.2">
      <c r="B617" s="43"/>
      <c r="D617" s="476"/>
      <c r="E617" s="518"/>
      <c r="F617" s="284">
        <v>103</v>
      </c>
      <c r="G617" s="41"/>
      <c r="H617" s="285" t="s">
        <v>270</v>
      </c>
      <c r="I617" s="194" t="s">
        <v>20</v>
      </c>
      <c r="J617" s="56">
        <v>1950000</v>
      </c>
      <c r="K617" s="51"/>
      <c r="L617" s="51">
        <f>SUM(J617:K617)</f>
        <v>1950000</v>
      </c>
    </row>
    <row r="618" spans="1:16" x14ac:dyDescent="0.2">
      <c r="B618" s="43"/>
      <c r="D618" s="476"/>
      <c r="E618" s="518"/>
      <c r="F618" s="284"/>
      <c r="G618" s="47" t="s">
        <v>37</v>
      </c>
      <c r="H618" s="286"/>
      <c r="I618" s="194" t="s">
        <v>38</v>
      </c>
      <c r="J618" s="56">
        <f>SUM(J617)</f>
        <v>1950000</v>
      </c>
      <c r="K618" s="51"/>
      <c r="L618" s="51">
        <f>SUM(J617:K617)</f>
        <v>1950000</v>
      </c>
    </row>
    <row r="619" spans="1:16" x14ac:dyDescent="0.2">
      <c r="B619" s="43"/>
      <c r="D619" s="476"/>
      <c r="E619" s="518"/>
      <c r="F619" s="284"/>
      <c r="G619" s="41"/>
      <c r="H619" s="285"/>
      <c r="I619" s="202" t="s">
        <v>710</v>
      </c>
      <c r="J619" s="48">
        <f>SUM(J618)</f>
        <v>1950000</v>
      </c>
      <c r="K619" s="52"/>
      <c r="L619" s="52">
        <f>SUM(L618)</f>
        <v>1950000</v>
      </c>
    </row>
    <row r="620" spans="1:16" x14ac:dyDescent="0.2">
      <c r="B620" s="43"/>
      <c r="D620" s="476"/>
      <c r="E620" s="518"/>
      <c r="F620" s="284"/>
      <c r="G620" s="41"/>
      <c r="H620" s="285"/>
      <c r="I620" s="24"/>
      <c r="J620" s="198"/>
      <c r="K620" s="27"/>
      <c r="L620" s="53"/>
    </row>
    <row r="621" spans="1:16" ht="22.5" x14ac:dyDescent="0.2">
      <c r="B621" s="43"/>
      <c r="D621" s="476"/>
      <c r="E621" s="520" t="s">
        <v>454</v>
      </c>
      <c r="F621" s="358"/>
      <c r="G621" s="307"/>
      <c r="H621" s="360"/>
      <c r="I621" s="368" t="s">
        <v>914</v>
      </c>
      <c r="J621" s="234"/>
      <c r="K621" s="299"/>
      <c r="L621" s="49"/>
    </row>
    <row r="622" spans="1:16" x14ac:dyDescent="0.2">
      <c r="B622" s="43"/>
      <c r="D622" s="476"/>
      <c r="E622" s="518"/>
      <c r="F622" s="284">
        <v>104</v>
      </c>
      <c r="G622" s="41"/>
      <c r="H622" s="285" t="s">
        <v>270</v>
      </c>
      <c r="I622" s="194" t="s">
        <v>20</v>
      </c>
      <c r="J622" s="56">
        <v>4500000</v>
      </c>
      <c r="K622" s="51"/>
      <c r="L622" s="51">
        <f>SUM(J622:K622)</f>
        <v>4500000</v>
      </c>
    </row>
    <row r="623" spans="1:16" x14ac:dyDescent="0.2">
      <c r="B623" s="43"/>
      <c r="D623" s="476"/>
      <c r="E623" s="518"/>
      <c r="F623" s="284"/>
      <c r="G623" s="47" t="s">
        <v>37</v>
      </c>
      <c r="H623" s="286"/>
      <c r="I623" s="194" t="s">
        <v>38</v>
      </c>
      <c r="J623" s="56">
        <f>SUM(J622)</f>
        <v>4500000</v>
      </c>
      <c r="K623" s="51"/>
      <c r="L623" s="51">
        <f>SUM(J622:K622)</f>
        <v>4500000</v>
      </c>
    </row>
    <row r="624" spans="1:16" x14ac:dyDescent="0.2">
      <c r="B624" s="43"/>
      <c r="D624" s="476"/>
      <c r="E624" s="518"/>
      <c r="F624" s="284"/>
      <c r="G624" s="41"/>
      <c r="H624" s="285"/>
      <c r="I624" s="202" t="s">
        <v>710</v>
      </c>
      <c r="J624" s="48">
        <f>SUM(J623)</f>
        <v>4500000</v>
      </c>
      <c r="K624" s="52"/>
      <c r="L624" s="52">
        <f>SUM(L623)</f>
        <v>4500000</v>
      </c>
    </row>
    <row r="625" spans="1:16" x14ac:dyDescent="0.2">
      <c r="B625" s="43"/>
      <c r="D625" s="476"/>
      <c r="E625" s="518"/>
      <c r="F625" s="284"/>
      <c r="G625" s="41"/>
      <c r="H625" s="285"/>
      <c r="I625" s="17"/>
      <c r="J625" s="198"/>
      <c r="K625" s="27"/>
      <c r="L625" s="53"/>
    </row>
    <row r="626" spans="1:16" x14ac:dyDescent="0.2">
      <c r="B626" s="43"/>
      <c r="D626" s="476"/>
      <c r="E626" s="520" t="s">
        <v>454</v>
      </c>
      <c r="F626" s="358"/>
      <c r="G626" s="307"/>
      <c r="H626" s="360"/>
      <c r="I626" s="312" t="s">
        <v>915</v>
      </c>
      <c r="J626" s="232"/>
      <c r="K626" s="71"/>
      <c r="L626" s="233"/>
    </row>
    <row r="627" spans="1:16" s="165" customFormat="1" x14ac:dyDescent="0.2">
      <c r="A627" s="648"/>
      <c r="B627" s="583"/>
      <c r="C627" s="583"/>
      <c r="D627" s="582"/>
      <c r="E627" s="563"/>
      <c r="F627" s="792" t="s">
        <v>994</v>
      </c>
      <c r="G627" s="793"/>
      <c r="H627" s="794" t="s">
        <v>46</v>
      </c>
      <c r="I627" s="802" t="s">
        <v>10</v>
      </c>
      <c r="J627" s="797">
        <v>400000</v>
      </c>
      <c r="K627" s="797"/>
      <c r="L627" s="797">
        <f>SUM(J627:K627)</f>
        <v>400000</v>
      </c>
      <c r="M627" s="1014"/>
      <c r="N627" s="834"/>
      <c r="O627" s="163"/>
      <c r="P627" s="832"/>
    </row>
    <row r="628" spans="1:16" x14ac:dyDescent="0.2">
      <c r="B628" s="43"/>
      <c r="D628" s="476"/>
      <c r="E628" s="518"/>
      <c r="F628" s="284">
        <v>105</v>
      </c>
      <c r="G628" s="41"/>
      <c r="H628" s="285" t="s">
        <v>270</v>
      </c>
      <c r="I628" s="194" t="s">
        <v>20</v>
      </c>
      <c r="J628" s="56">
        <v>240400000</v>
      </c>
      <c r="K628" s="51"/>
      <c r="L628" s="51">
        <f>SUM(J628:K628)</f>
        <v>240400000</v>
      </c>
    </row>
    <row r="629" spans="1:16" x14ac:dyDescent="0.2">
      <c r="B629" s="43"/>
      <c r="D629" s="476"/>
      <c r="E629" s="518"/>
      <c r="F629" s="284"/>
      <c r="G629" s="47" t="s">
        <v>37</v>
      </c>
      <c r="H629" s="286"/>
      <c r="I629" s="194" t="s">
        <v>38</v>
      </c>
      <c r="J629" s="56">
        <v>120800000</v>
      </c>
      <c r="K629" s="51"/>
      <c r="L629" s="51">
        <f>SUM(J629:K629)</f>
        <v>120800000</v>
      </c>
    </row>
    <row r="630" spans="1:16" x14ac:dyDescent="0.2">
      <c r="B630" s="43"/>
      <c r="D630" s="476"/>
      <c r="E630" s="518"/>
      <c r="F630" s="284"/>
      <c r="G630" s="47" t="s">
        <v>673</v>
      </c>
      <c r="H630" s="286"/>
      <c r="I630" s="194" t="s">
        <v>674</v>
      </c>
      <c r="J630" s="56">
        <v>120000000</v>
      </c>
      <c r="K630" s="51"/>
      <c r="L630" s="51">
        <f>SUM(J630:K630)</f>
        <v>120000000</v>
      </c>
    </row>
    <row r="631" spans="1:16" x14ac:dyDescent="0.2">
      <c r="B631" s="43"/>
      <c r="D631" s="476"/>
      <c r="E631" s="518"/>
      <c r="F631" s="284"/>
      <c r="G631" s="41"/>
      <c r="H631" s="285"/>
      <c r="I631" s="202" t="s">
        <v>710</v>
      </c>
      <c r="J631" s="48">
        <f>SUM(J629:J630)</f>
        <v>240800000</v>
      </c>
      <c r="K631" s="52"/>
      <c r="L631" s="52">
        <f>SUM(J631:K631)</f>
        <v>240800000</v>
      </c>
    </row>
    <row r="632" spans="1:16" x14ac:dyDescent="0.2">
      <c r="B632" s="43"/>
      <c r="D632" s="476"/>
      <c r="E632" s="518"/>
      <c r="F632" s="284"/>
      <c r="G632" s="41"/>
      <c r="H632" s="285"/>
      <c r="I632" s="24"/>
      <c r="J632" s="198"/>
      <c r="K632" s="27"/>
      <c r="L632" s="53"/>
    </row>
    <row r="633" spans="1:16" ht="40.5" customHeight="1" x14ac:dyDescent="0.2">
      <c r="B633" s="43"/>
      <c r="D633" s="476"/>
      <c r="E633" s="520" t="s">
        <v>454</v>
      </c>
      <c r="F633" s="358"/>
      <c r="G633" s="307"/>
      <c r="H633" s="360"/>
      <c r="I633" s="368" t="s">
        <v>916</v>
      </c>
      <c r="J633" s="234"/>
      <c r="K633" s="299"/>
      <c r="L633" s="49"/>
    </row>
    <row r="634" spans="1:16" x14ac:dyDescent="0.2">
      <c r="B634" s="43"/>
      <c r="D634" s="476"/>
      <c r="E634" s="518"/>
      <c r="F634" s="284">
        <v>106</v>
      </c>
      <c r="G634" s="41"/>
      <c r="H634" s="285" t="s">
        <v>270</v>
      </c>
      <c r="I634" s="194" t="s">
        <v>20</v>
      </c>
      <c r="J634" s="56">
        <v>5000000</v>
      </c>
      <c r="K634" s="51"/>
      <c r="L634" s="51">
        <f>SUM(J634:K634)</f>
        <v>5000000</v>
      </c>
    </row>
    <row r="635" spans="1:16" x14ac:dyDescent="0.2">
      <c r="B635" s="43"/>
      <c r="D635" s="476"/>
      <c r="E635" s="518"/>
      <c r="F635" s="284"/>
      <c r="G635" s="47" t="s">
        <v>37</v>
      </c>
      <c r="H635" s="286"/>
      <c r="I635" s="194" t="s">
        <v>38</v>
      </c>
      <c r="J635" s="56">
        <f>SUM(J634)</f>
        <v>5000000</v>
      </c>
      <c r="K635" s="51"/>
      <c r="L635" s="51">
        <f>SUM(J634:K634)</f>
        <v>5000000</v>
      </c>
    </row>
    <row r="636" spans="1:16" x14ac:dyDescent="0.2">
      <c r="B636" s="43"/>
      <c r="D636" s="476"/>
      <c r="E636" s="518"/>
      <c r="F636" s="284"/>
      <c r="G636" s="41"/>
      <c r="H636" s="285"/>
      <c r="I636" s="202" t="s">
        <v>710</v>
      </c>
      <c r="J636" s="48">
        <f>SUM(J635)</f>
        <v>5000000</v>
      </c>
      <c r="K636" s="52"/>
      <c r="L636" s="52">
        <f>SUM(L635)</f>
        <v>5000000</v>
      </c>
    </row>
    <row r="637" spans="1:16" x14ac:dyDescent="0.2">
      <c r="B637" s="43"/>
      <c r="D637" s="476"/>
      <c r="E637" s="518"/>
      <c r="F637" s="284"/>
      <c r="G637" s="41"/>
      <c r="H637" s="285"/>
      <c r="I637" s="24"/>
      <c r="J637" s="198"/>
      <c r="K637" s="27"/>
      <c r="L637" s="53"/>
    </row>
    <row r="638" spans="1:16" ht="45" x14ac:dyDescent="0.2">
      <c r="B638" s="43"/>
      <c r="D638" s="476"/>
      <c r="E638" s="520" t="s">
        <v>454</v>
      </c>
      <c r="F638" s="358"/>
      <c r="G638" s="307"/>
      <c r="H638" s="360"/>
      <c r="I638" s="368" t="s">
        <v>947</v>
      </c>
      <c r="J638" s="234"/>
      <c r="K638" s="299"/>
      <c r="L638" s="49"/>
    </row>
    <row r="639" spans="1:16" s="165" customFormat="1" x14ac:dyDescent="0.2">
      <c r="A639" s="648"/>
      <c r="B639" s="583"/>
      <c r="C639" s="583"/>
      <c r="D639" s="582"/>
      <c r="E639" s="563"/>
      <c r="F639" s="792" t="s">
        <v>993</v>
      </c>
      <c r="G639" s="793"/>
      <c r="H639" s="794" t="s">
        <v>46</v>
      </c>
      <c r="I639" s="802" t="s">
        <v>10</v>
      </c>
      <c r="J639" s="797">
        <v>200000</v>
      </c>
      <c r="K639" s="797"/>
      <c r="L639" s="797">
        <f>SUM(J639:K639)</f>
        <v>200000</v>
      </c>
      <c r="M639" s="1014"/>
      <c r="N639" s="834"/>
      <c r="O639" s="163"/>
      <c r="P639" s="832"/>
    </row>
    <row r="640" spans="1:16" x14ac:dyDescent="0.2">
      <c r="B640" s="43"/>
      <c r="D640" s="476"/>
      <c r="E640" s="518"/>
      <c r="F640" s="284">
        <v>107</v>
      </c>
      <c r="G640" s="41"/>
      <c r="H640" s="285" t="s">
        <v>270</v>
      </c>
      <c r="I640" s="194" t="s">
        <v>20</v>
      </c>
      <c r="J640" s="56">
        <v>22600000</v>
      </c>
      <c r="K640" s="51"/>
      <c r="L640" s="51">
        <f>SUM(J640:K640)</f>
        <v>22600000</v>
      </c>
    </row>
    <row r="641" spans="1:14" x14ac:dyDescent="0.2">
      <c r="B641" s="43"/>
      <c r="D641" s="476"/>
      <c r="E641" s="518"/>
      <c r="F641" s="284"/>
      <c r="G641" s="47" t="s">
        <v>37</v>
      </c>
      <c r="H641" s="286"/>
      <c r="I641" s="265" t="s">
        <v>38</v>
      </c>
      <c r="J641" s="56">
        <f>SUM(J644-J642-J643)</f>
        <v>17219583.73</v>
      </c>
      <c r="K641" s="51"/>
      <c r="L641" s="51">
        <f t="shared" ref="L641:L644" si="37">SUM(J641:K641)</f>
        <v>17219583.73</v>
      </c>
      <c r="N641" s="845"/>
    </row>
    <row r="642" spans="1:14" x14ac:dyDescent="0.2">
      <c r="B642" s="43"/>
      <c r="D642" s="476"/>
      <c r="E642" s="518"/>
      <c r="F642" s="284"/>
      <c r="G642" s="47" t="s">
        <v>113</v>
      </c>
      <c r="H642" s="286"/>
      <c r="I642" s="194" t="s">
        <v>418</v>
      </c>
      <c r="J642" s="56">
        <f>5580416.27-1943763.79</f>
        <v>3636652.4799999995</v>
      </c>
      <c r="K642" s="51"/>
      <c r="L642" s="51">
        <f t="shared" si="37"/>
        <v>3636652.4799999995</v>
      </c>
    </row>
    <row r="643" spans="1:14" x14ac:dyDescent="0.2">
      <c r="B643" s="43"/>
      <c r="D643" s="476"/>
      <c r="E643" s="518"/>
      <c r="F643" s="284"/>
      <c r="G643" s="47" t="s">
        <v>1081</v>
      </c>
      <c r="H643" s="286"/>
      <c r="I643" s="244" t="s">
        <v>1082</v>
      </c>
      <c r="J643" s="56">
        <v>1943763.79</v>
      </c>
      <c r="K643" s="51"/>
      <c r="L643" s="51">
        <f t="shared" si="37"/>
        <v>1943763.79</v>
      </c>
    </row>
    <row r="644" spans="1:14" x14ac:dyDescent="0.2">
      <c r="B644" s="43"/>
      <c r="D644" s="476"/>
      <c r="E644" s="518"/>
      <c r="F644" s="284"/>
      <c r="G644" s="41"/>
      <c r="H644" s="285"/>
      <c r="I644" s="266" t="s">
        <v>710</v>
      </c>
      <c r="J644" s="48">
        <f>SUM(J639:J640)</f>
        <v>22800000</v>
      </c>
      <c r="K644" s="52"/>
      <c r="L644" s="52">
        <f t="shared" si="37"/>
        <v>22800000</v>
      </c>
    </row>
    <row r="645" spans="1:14" x14ac:dyDescent="0.2">
      <c r="B645" s="43"/>
      <c r="D645" s="476"/>
      <c r="E645" s="518"/>
      <c r="F645" s="284"/>
      <c r="G645" s="41"/>
      <c r="H645" s="285"/>
      <c r="I645" s="24"/>
      <c r="J645" s="198"/>
      <c r="K645" s="27"/>
      <c r="L645" s="53"/>
    </row>
    <row r="646" spans="1:14" ht="22.5" x14ac:dyDescent="0.2">
      <c r="B646" s="43"/>
      <c r="D646" s="476"/>
      <c r="E646" s="520" t="s">
        <v>454</v>
      </c>
      <c r="F646" s="358"/>
      <c r="G646" s="307"/>
      <c r="H646" s="360"/>
      <c r="I646" s="368" t="s">
        <v>917</v>
      </c>
      <c r="J646" s="299"/>
      <c r="K646" s="299"/>
      <c r="L646" s="49"/>
    </row>
    <row r="647" spans="1:14" x14ac:dyDescent="0.2">
      <c r="B647" s="43"/>
      <c r="D647" s="476"/>
      <c r="E647" s="518"/>
      <c r="F647" s="284">
        <v>108</v>
      </c>
      <c r="G647" s="41"/>
      <c r="H647" s="285" t="s">
        <v>270</v>
      </c>
      <c r="I647" s="194" t="s">
        <v>20</v>
      </c>
      <c r="J647" s="51">
        <v>1200000</v>
      </c>
      <c r="K647" s="340"/>
      <c r="L647" s="51">
        <f>SUM(J647:K647)</f>
        <v>1200000</v>
      </c>
    </row>
    <row r="648" spans="1:14" x14ac:dyDescent="0.2">
      <c r="B648" s="43"/>
      <c r="D648" s="476"/>
      <c r="E648" s="518"/>
      <c r="F648" s="284"/>
      <c r="G648" s="47" t="s">
        <v>37</v>
      </c>
      <c r="H648" s="286"/>
      <c r="I648" s="194" t="s">
        <v>38</v>
      </c>
      <c r="J648" s="51">
        <f>SUM(J647)</f>
        <v>1200000</v>
      </c>
      <c r="K648" s="51"/>
      <c r="L648" s="51">
        <f>SUM(J647:K647)</f>
        <v>1200000</v>
      </c>
    </row>
    <row r="649" spans="1:14" x14ac:dyDescent="0.2">
      <c r="B649" s="43"/>
      <c r="D649" s="476"/>
      <c r="E649" s="518"/>
      <c r="F649" s="284"/>
      <c r="G649" s="41"/>
      <c r="H649" s="285"/>
      <c r="I649" s="202" t="s">
        <v>710</v>
      </c>
      <c r="J649" s="52">
        <f>SUM(J648)</f>
        <v>1200000</v>
      </c>
      <c r="K649" s="52"/>
      <c r="L649" s="52">
        <f>SUM(J648:K648)</f>
        <v>1200000</v>
      </c>
    </row>
    <row r="650" spans="1:14" x14ac:dyDescent="0.2">
      <c r="B650" s="43"/>
      <c r="D650" s="476"/>
      <c r="E650" s="518"/>
      <c r="F650" s="284"/>
      <c r="G650" s="41"/>
      <c r="H650" s="285"/>
      <c r="I650" s="24"/>
      <c r="J650" s="27"/>
      <c r="K650" s="27"/>
      <c r="L650" s="53"/>
    </row>
    <row r="651" spans="1:14" ht="22.5" x14ac:dyDescent="0.2">
      <c r="B651" s="43"/>
      <c r="D651" s="476"/>
      <c r="E651" s="520" t="s">
        <v>454</v>
      </c>
      <c r="F651" s="358"/>
      <c r="G651" s="307"/>
      <c r="H651" s="360"/>
      <c r="I651" s="368" t="s">
        <v>918</v>
      </c>
      <c r="J651" s="299"/>
      <c r="K651" s="299"/>
      <c r="L651" s="49"/>
    </row>
    <row r="652" spans="1:14" x14ac:dyDescent="0.2">
      <c r="B652" s="43"/>
      <c r="D652" s="476"/>
      <c r="E652" s="518"/>
      <c r="F652" s="284">
        <v>109</v>
      </c>
      <c r="G652" s="41"/>
      <c r="H652" s="285" t="s">
        <v>270</v>
      </c>
      <c r="I652" s="194" t="s">
        <v>20</v>
      </c>
      <c r="J652" s="51">
        <v>500000</v>
      </c>
      <c r="K652" s="51"/>
      <c r="L652" s="51">
        <f>SUM(J652:K652)</f>
        <v>500000</v>
      </c>
    </row>
    <row r="653" spans="1:14" x14ac:dyDescent="0.2">
      <c r="B653" s="43"/>
      <c r="D653" s="476"/>
      <c r="E653" s="518"/>
      <c r="F653" s="284"/>
      <c r="G653" s="47" t="s">
        <v>37</v>
      </c>
      <c r="H653" s="286"/>
      <c r="I653" s="194" t="s">
        <v>38</v>
      </c>
      <c r="J653" s="51">
        <f>SUM(J652)</f>
        <v>500000</v>
      </c>
      <c r="K653" s="51"/>
      <c r="L653" s="51">
        <f>SUM(J652:K652)</f>
        <v>500000</v>
      </c>
    </row>
    <row r="654" spans="1:14" x14ac:dyDescent="0.2">
      <c r="B654" s="43"/>
      <c r="D654" s="476"/>
      <c r="E654" s="518"/>
      <c r="F654" s="284"/>
      <c r="G654" s="41"/>
      <c r="H654" s="285"/>
      <c r="I654" s="202" t="s">
        <v>710</v>
      </c>
      <c r="J654" s="52">
        <f>SUM(J653)</f>
        <v>500000</v>
      </c>
      <c r="K654" s="52"/>
      <c r="L654" s="52">
        <f>SUM(J653:K653)</f>
        <v>500000</v>
      </c>
      <c r="N654" s="16"/>
    </row>
    <row r="655" spans="1:14" x14ac:dyDescent="0.2">
      <c r="B655" s="43"/>
      <c r="D655" s="476"/>
      <c r="E655" s="518"/>
      <c r="F655" s="284"/>
      <c r="G655" s="41"/>
      <c r="H655" s="285"/>
      <c r="I655" s="24"/>
      <c r="J655" s="27"/>
      <c r="K655" s="27"/>
      <c r="L655" s="53"/>
      <c r="N655" s="16"/>
    </row>
    <row r="656" spans="1:14" ht="22.5" x14ac:dyDescent="0.2">
      <c r="A656" s="645"/>
      <c r="B656" s="645"/>
      <c r="C656" s="646"/>
      <c r="D656" s="645"/>
      <c r="E656" s="520" t="s">
        <v>454</v>
      </c>
      <c r="F656" s="358"/>
      <c r="G656" s="374"/>
      <c r="H656" s="429"/>
      <c r="I656" s="368" t="s">
        <v>919</v>
      </c>
      <c r="J656" s="341"/>
      <c r="K656" s="341"/>
      <c r="L656" s="342"/>
    </row>
    <row r="657" spans="1:12" ht="15" x14ac:dyDescent="0.2">
      <c r="A657" s="645"/>
      <c r="B657" s="645"/>
      <c r="C657" s="646"/>
      <c r="D657" s="645"/>
      <c r="E657" s="647"/>
      <c r="F657" s="284">
        <v>110</v>
      </c>
      <c r="G657" s="41"/>
      <c r="H657" s="285" t="s">
        <v>270</v>
      </c>
      <c r="I657" s="194" t="s">
        <v>20</v>
      </c>
      <c r="J657" s="51">
        <v>600000</v>
      </c>
      <c r="K657" s="51"/>
      <c r="L657" s="51">
        <f>SUM(J657:K657)</f>
        <v>600000</v>
      </c>
    </row>
    <row r="658" spans="1:12" ht="15" x14ac:dyDescent="0.25">
      <c r="A658" s="645"/>
      <c r="B658" s="645"/>
      <c r="C658" s="646"/>
      <c r="D658" s="645"/>
      <c r="E658" s="647"/>
      <c r="F658" s="284"/>
      <c r="G658" s="47" t="s">
        <v>37</v>
      </c>
      <c r="H658" s="288"/>
      <c r="I658" s="194" t="s">
        <v>38</v>
      </c>
      <c r="J658" s="51">
        <f>SUM(J657)</f>
        <v>600000</v>
      </c>
      <c r="K658" s="51"/>
      <c r="L658" s="51">
        <f>SUM(J657:K657)</f>
        <v>600000</v>
      </c>
    </row>
    <row r="659" spans="1:12" x14ac:dyDescent="0.2">
      <c r="A659" s="476"/>
      <c r="B659" s="43"/>
      <c r="D659" s="476"/>
      <c r="E659" s="518"/>
      <c r="F659" s="284"/>
      <c r="G659" s="293"/>
      <c r="H659" s="285"/>
      <c r="I659" s="57" t="s">
        <v>710</v>
      </c>
      <c r="J659" s="52">
        <f>SUM(J658)</f>
        <v>600000</v>
      </c>
      <c r="K659" s="52"/>
      <c r="L659" s="52">
        <f>SUM(J658:K658)</f>
        <v>600000</v>
      </c>
    </row>
    <row r="660" spans="1:12" x14ac:dyDescent="0.2">
      <c r="A660" s="476"/>
      <c r="B660" s="43"/>
      <c r="D660" s="476"/>
      <c r="E660" s="518"/>
      <c r="F660" s="284"/>
      <c r="G660" s="293"/>
      <c r="H660" s="285"/>
      <c r="I660" s="249"/>
      <c r="J660" s="71"/>
      <c r="K660" s="71"/>
      <c r="L660" s="233"/>
    </row>
    <row r="661" spans="1:12" ht="27" customHeight="1" x14ac:dyDescent="0.2">
      <c r="A661" s="476"/>
      <c r="B661" s="43"/>
      <c r="D661" s="476"/>
      <c r="E661" s="520" t="s">
        <v>454</v>
      </c>
      <c r="F661" s="358"/>
      <c r="G661" s="374"/>
      <c r="H661" s="429"/>
      <c r="I661" s="368" t="s">
        <v>1073</v>
      </c>
      <c r="J661" s="341"/>
      <c r="K661" s="341"/>
      <c r="L661" s="342"/>
    </row>
    <row r="662" spans="1:12" x14ac:dyDescent="0.2">
      <c r="A662" s="476"/>
      <c r="B662" s="43"/>
      <c r="D662" s="476"/>
      <c r="E662" s="958"/>
      <c r="F662" s="959" t="s">
        <v>1072</v>
      </c>
      <c r="G662" s="960"/>
      <c r="H662" s="961" t="s">
        <v>270</v>
      </c>
      <c r="I662" s="962" t="s">
        <v>20</v>
      </c>
      <c r="J662" s="963">
        <v>215430000</v>
      </c>
      <c r="K662" s="963"/>
      <c r="L662" s="963">
        <f>SUM(J662:K662)</f>
        <v>215430000</v>
      </c>
    </row>
    <row r="663" spans="1:12" ht="15" x14ac:dyDescent="0.25">
      <c r="A663" s="476"/>
      <c r="B663" s="43"/>
      <c r="D663" s="476"/>
      <c r="E663" s="958"/>
      <c r="F663" s="959"/>
      <c r="G663" s="964" t="s">
        <v>37</v>
      </c>
      <c r="H663" s="965"/>
      <c r="I663" s="962" t="s">
        <v>38</v>
      </c>
      <c r="J663" s="963">
        <f>J662-J664</f>
        <v>5430000</v>
      </c>
      <c r="K663" s="963"/>
      <c r="L663" s="963">
        <f t="shared" ref="L663:L665" si="38">SUM(J663:K663)</f>
        <v>5430000</v>
      </c>
    </row>
    <row r="664" spans="1:12" ht="15" x14ac:dyDescent="0.25">
      <c r="A664" s="476"/>
      <c r="B664" s="43"/>
      <c r="D664" s="476"/>
      <c r="E664" s="958"/>
      <c r="F664" s="959"/>
      <c r="G664" s="964" t="s">
        <v>113</v>
      </c>
      <c r="H664" s="965"/>
      <c r="I664" s="962" t="s">
        <v>418</v>
      </c>
      <c r="J664" s="963">
        <v>210000000</v>
      </c>
      <c r="K664" s="963"/>
      <c r="L664" s="963">
        <f t="shared" si="38"/>
        <v>210000000</v>
      </c>
    </row>
    <row r="665" spans="1:12" x14ac:dyDescent="0.2">
      <c r="A665" s="476"/>
      <c r="B665" s="43"/>
      <c r="D665" s="476"/>
      <c r="E665" s="966"/>
      <c r="F665" s="959"/>
      <c r="G665" s="967"/>
      <c r="H665" s="961"/>
      <c r="I665" s="968" t="s">
        <v>710</v>
      </c>
      <c r="J665" s="969">
        <f>SUM(J662)</f>
        <v>215430000</v>
      </c>
      <c r="K665" s="969"/>
      <c r="L665" s="969">
        <f t="shared" si="38"/>
        <v>215430000</v>
      </c>
    </row>
    <row r="666" spans="1:12" x14ac:dyDescent="0.2">
      <c r="B666" s="43"/>
      <c r="D666" s="477"/>
      <c r="E666" s="518"/>
      <c r="F666" s="284"/>
      <c r="G666" s="41"/>
      <c r="H666" s="285"/>
      <c r="I666" s="841"/>
      <c r="J666" s="71"/>
      <c r="K666" s="71"/>
      <c r="L666" s="233"/>
    </row>
    <row r="667" spans="1:12" x14ac:dyDescent="0.2">
      <c r="B667" s="43"/>
      <c r="C667" s="43">
        <v>620</v>
      </c>
      <c r="E667" s="518"/>
      <c r="F667" s="284"/>
      <c r="G667" s="41"/>
      <c r="H667" s="286"/>
      <c r="I667" s="260" t="s">
        <v>105</v>
      </c>
      <c r="J667" s="331"/>
      <c r="K667" s="331"/>
      <c r="L667" s="332"/>
    </row>
    <row r="668" spans="1:12" x14ac:dyDescent="0.2">
      <c r="A668" s="334"/>
      <c r="B668" s="401"/>
      <c r="C668" s="401"/>
      <c r="D668" s="478"/>
      <c r="E668" s="521"/>
      <c r="F668" s="406"/>
      <c r="G668" s="203"/>
      <c r="H668" s="432"/>
      <c r="I668" s="17"/>
      <c r="J668" s="27"/>
      <c r="K668" s="27"/>
      <c r="L668" s="53"/>
    </row>
    <row r="669" spans="1:12" ht="15" x14ac:dyDescent="0.2">
      <c r="B669" s="43"/>
      <c r="C669" s="646"/>
      <c r="D669" s="645"/>
      <c r="E669" s="647"/>
      <c r="F669" s="284"/>
      <c r="G669" s="203"/>
      <c r="H669" s="432"/>
      <c r="I669" s="270" t="s">
        <v>468</v>
      </c>
      <c r="J669" s="299"/>
      <c r="K669" s="299"/>
      <c r="L669" s="49"/>
    </row>
    <row r="670" spans="1:12" x14ac:dyDescent="0.2">
      <c r="B670" s="43"/>
      <c r="D670" s="43"/>
      <c r="E670" s="518"/>
      <c r="F670" s="284"/>
      <c r="G670" s="293"/>
      <c r="H670" s="286"/>
      <c r="I670" s="26"/>
      <c r="J670" s="27"/>
      <c r="K670" s="27"/>
      <c r="L670" s="53"/>
    </row>
    <row r="671" spans="1:12" x14ac:dyDescent="0.2">
      <c r="B671" s="43"/>
      <c r="D671" s="43"/>
      <c r="E671" s="519"/>
      <c r="F671" s="404"/>
      <c r="G671" s="302"/>
      <c r="H671" s="419"/>
      <c r="I671" s="363" t="s">
        <v>272</v>
      </c>
      <c r="J671" s="455"/>
      <c r="K671" s="455"/>
      <c r="L671" s="304"/>
    </row>
    <row r="672" spans="1:12" x14ac:dyDescent="0.2">
      <c r="A672" s="648"/>
      <c r="B672" s="583"/>
      <c r="C672" s="583"/>
      <c r="D672" s="583"/>
      <c r="E672" s="519" t="s">
        <v>457</v>
      </c>
      <c r="F672" s="404"/>
      <c r="G672" s="302"/>
      <c r="H672" s="422"/>
      <c r="I672" s="365" t="s">
        <v>451</v>
      </c>
      <c r="J672" s="447"/>
      <c r="K672" s="447"/>
      <c r="L672" s="367"/>
    </row>
    <row r="673" spans="1:12" x14ac:dyDescent="0.2">
      <c r="B673" s="43"/>
      <c r="D673" s="476"/>
      <c r="E673" s="518"/>
      <c r="F673" s="284"/>
      <c r="G673" s="294"/>
      <c r="H673" s="433"/>
      <c r="I673" s="239"/>
      <c r="J673" s="27"/>
      <c r="K673" s="27"/>
      <c r="L673" s="53"/>
    </row>
    <row r="674" spans="1:12" x14ac:dyDescent="0.2">
      <c r="B674" s="43"/>
      <c r="D674" s="476"/>
      <c r="E674" s="518"/>
      <c r="F674" s="284">
        <v>111</v>
      </c>
      <c r="G674" s="41"/>
      <c r="H674" s="284">
        <v>424</v>
      </c>
      <c r="I674" s="243" t="s">
        <v>655</v>
      </c>
      <c r="J674" s="51">
        <v>19073856</v>
      </c>
      <c r="K674" s="51"/>
      <c r="L674" s="51">
        <f>SUM(J674+K674)</f>
        <v>19073856</v>
      </c>
    </row>
    <row r="675" spans="1:12" x14ac:dyDescent="0.2">
      <c r="B675" s="43"/>
      <c r="D675" s="476"/>
      <c r="E675" s="518"/>
      <c r="F675" s="284">
        <v>112</v>
      </c>
      <c r="G675" s="41"/>
      <c r="H675" s="430">
        <v>451</v>
      </c>
      <c r="I675" s="240" t="s">
        <v>658</v>
      </c>
      <c r="J675" s="51">
        <v>6453600</v>
      </c>
      <c r="K675" s="51"/>
      <c r="L675" s="51">
        <f t="shared" ref="L675:L677" si="39">SUM(J675+K675)</f>
        <v>6453600</v>
      </c>
    </row>
    <row r="676" spans="1:12" x14ac:dyDescent="0.2">
      <c r="B676" s="43"/>
      <c r="D676" s="476"/>
      <c r="E676" s="518"/>
      <c r="F676" s="284"/>
      <c r="G676" s="47" t="s">
        <v>37</v>
      </c>
      <c r="H676" s="286"/>
      <c r="I676" s="194" t="s">
        <v>38</v>
      </c>
      <c r="J676" s="51">
        <f>SUM(J674:J675)</f>
        <v>25527456</v>
      </c>
      <c r="K676" s="51"/>
      <c r="L676" s="51">
        <f t="shared" si="39"/>
        <v>25527456</v>
      </c>
    </row>
    <row r="677" spans="1:12" x14ac:dyDescent="0.2">
      <c r="A677" s="476"/>
      <c r="B677" s="43"/>
      <c r="D677" s="476"/>
      <c r="E677" s="518"/>
      <c r="F677" s="284"/>
      <c r="G677" s="41"/>
      <c r="H677" s="285"/>
      <c r="I677" s="202" t="s">
        <v>621</v>
      </c>
      <c r="J677" s="52">
        <f>SUM(J676)</f>
        <v>25527456</v>
      </c>
      <c r="K677" s="52"/>
      <c r="L677" s="52">
        <f t="shared" si="39"/>
        <v>25527456</v>
      </c>
    </row>
    <row r="678" spans="1:12" x14ac:dyDescent="0.2">
      <c r="D678" s="43"/>
      <c r="E678" s="518"/>
      <c r="F678" s="284"/>
      <c r="G678" s="41"/>
      <c r="H678" s="285"/>
      <c r="I678" s="211"/>
      <c r="J678" s="345"/>
      <c r="K678" s="345"/>
      <c r="L678" s="617"/>
    </row>
    <row r="679" spans="1:12" x14ac:dyDescent="0.2">
      <c r="D679" s="43"/>
      <c r="E679" s="520">
        <v>1102</v>
      </c>
      <c r="F679" s="358"/>
      <c r="G679" s="307"/>
      <c r="H679" s="360"/>
      <c r="I679" s="370" t="s">
        <v>886</v>
      </c>
      <c r="J679" s="310"/>
      <c r="K679" s="310"/>
      <c r="L679" s="311"/>
    </row>
    <row r="680" spans="1:12" x14ac:dyDescent="0.2">
      <c r="D680" s="43"/>
      <c r="E680" s="518"/>
      <c r="F680" s="284">
        <v>113</v>
      </c>
      <c r="G680" s="41"/>
      <c r="H680" s="285" t="s">
        <v>650</v>
      </c>
      <c r="I680" s="194" t="s">
        <v>13</v>
      </c>
      <c r="J680" s="51">
        <v>850000</v>
      </c>
      <c r="K680" s="52"/>
      <c r="L680" s="51">
        <f>SUM(J680:K680)</f>
        <v>850000</v>
      </c>
    </row>
    <row r="681" spans="1:12" x14ac:dyDescent="0.2">
      <c r="D681" s="43"/>
      <c r="E681" s="518"/>
      <c r="F681" s="284">
        <v>114</v>
      </c>
      <c r="G681" s="41"/>
      <c r="H681" s="285" t="s">
        <v>651</v>
      </c>
      <c r="I681" s="194" t="s">
        <v>14</v>
      </c>
      <c r="J681" s="51">
        <v>10000</v>
      </c>
      <c r="K681" s="52"/>
      <c r="L681" s="51">
        <f t="shared" ref="L681:L684" si="40">SUM(J681:K681)</f>
        <v>10000</v>
      </c>
    </row>
    <row r="682" spans="1:12" x14ac:dyDescent="0.2">
      <c r="D682" s="43"/>
      <c r="E682" s="518"/>
      <c r="F682" s="284">
        <v>115</v>
      </c>
      <c r="G682" s="41"/>
      <c r="H682" s="285" t="s">
        <v>570</v>
      </c>
      <c r="I682" s="194" t="s">
        <v>21</v>
      </c>
      <c r="J682" s="51">
        <v>4200000</v>
      </c>
      <c r="K682" s="52"/>
      <c r="L682" s="51">
        <f t="shared" si="40"/>
        <v>4200000</v>
      </c>
    </row>
    <row r="683" spans="1:12" x14ac:dyDescent="0.2">
      <c r="D683" s="43"/>
      <c r="E683" s="518"/>
      <c r="F683" s="284"/>
      <c r="G683" s="41"/>
      <c r="H683" s="285"/>
      <c r="I683" s="208" t="s">
        <v>887</v>
      </c>
      <c r="J683" s="52">
        <f>SUM(J680:J682)</f>
        <v>5060000</v>
      </c>
      <c r="K683" s="52"/>
      <c r="L683" s="52">
        <f t="shared" si="40"/>
        <v>5060000</v>
      </c>
    </row>
    <row r="684" spans="1:12" x14ac:dyDescent="0.2">
      <c r="D684" s="43"/>
      <c r="E684" s="518"/>
      <c r="F684" s="284"/>
      <c r="G684" s="47" t="s">
        <v>37</v>
      </c>
      <c r="H684" s="286"/>
      <c r="I684" s="194" t="s">
        <v>38</v>
      </c>
      <c r="J684" s="51">
        <f>SUM(J683)</f>
        <v>5060000</v>
      </c>
      <c r="K684" s="52"/>
      <c r="L684" s="51">
        <f t="shared" si="40"/>
        <v>5060000</v>
      </c>
    </row>
    <row r="685" spans="1:12" x14ac:dyDescent="0.2">
      <c r="D685" s="43"/>
      <c r="E685" s="518"/>
      <c r="F685" s="284"/>
      <c r="G685" s="41"/>
      <c r="H685" s="285"/>
      <c r="I685" s="649"/>
      <c r="J685" s="71"/>
      <c r="K685" s="71"/>
      <c r="L685" s="71"/>
    </row>
    <row r="686" spans="1:12" x14ac:dyDescent="0.2">
      <c r="D686" s="43"/>
      <c r="E686" s="520" t="s">
        <v>454</v>
      </c>
      <c r="F686" s="358"/>
      <c r="G686" s="307"/>
      <c r="H686" s="360"/>
      <c r="I686" s="370" t="s">
        <v>885</v>
      </c>
      <c r="J686" s="310"/>
      <c r="K686" s="310"/>
      <c r="L686" s="311"/>
    </row>
    <row r="687" spans="1:12" x14ac:dyDescent="0.2">
      <c r="D687" s="43"/>
      <c r="E687" s="518"/>
      <c r="F687" s="284">
        <v>116</v>
      </c>
      <c r="G687" s="41"/>
      <c r="H687" s="285" t="s">
        <v>650</v>
      </c>
      <c r="I687" s="194" t="s">
        <v>13</v>
      </c>
      <c r="J687" s="51">
        <v>1000</v>
      </c>
      <c r="K687" s="52"/>
      <c r="L687" s="51">
        <f>SUM(J687:K687)</f>
        <v>1000</v>
      </c>
    </row>
    <row r="688" spans="1:12" x14ac:dyDescent="0.2">
      <c r="D688" s="43"/>
      <c r="E688" s="518"/>
      <c r="F688" s="284">
        <v>117</v>
      </c>
      <c r="G688" s="41"/>
      <c r="H688" s="285" t="s">
        <v>651</v>
      </c>
      <c r="I688" s="194" t="s">
        <v>14</v>
      </c>
      <c r="J688" s="51">
        <v>1000</v>
      </c>
      <c r="K688" s="52"/>
      <c r="L688" s="51">
        <f t="shared" ref="L688:L691" si="41">SUM(J688:K688)</f>
        <v>1000</v>
      </c>
    </row>
    <row r="689" spans="1:16" x14ac:dyDescent="0.2">
      <c r="D689" s="43"/>
      <c r="E689" s="518"/>
      <c r="F689" s="284">
        <v>118</v>
      </c>
      <c r="G689" s="41"/>
      <c r="H689" s="285" t="s">
        <v>570</v>
      </c>
      <c r="I689" s="194" t="s">
        <v>21</v>
      </c>
      <c r="J689" s="51">
        <v>15960000</v>
      </c>
      <c r="K689" s="52"/>
      <c r="L689" s="51">
        <f t="shared" si="41"/>
        <v>15960000</v>
      </c>
      <c r="N689" s="845"/>
    </row>
    <row r="690" spans="1:16" x14ac:dyDescent="0.2">
      <c r="D690" s="43"/>
      <c r="E690" s="518"/>
      <c r="F690" s="284"/>
      <c r="G690" s="41"/>
      <c r="H690" s="285"/>
      <c r="I690" s="208" t="s">
        <v>742</v>
      </c>
      <c r="J690" s="52">
        <f>SUM(J687:J689)</f>
        <v>15962000</v>
      </c>
      <c r="K690" s="52"/>
      <c r="L690" s="52">
        <f t="shared" si="41"/>
        <v>15962000</v>
      </c>
    </row>
    <row r="691" spans="1:16" x14ac:dyDescent="0.2">
      <c r="A691" s="476"/>
      <c r="B691" s="43"/>
      <c r="D691" s="476"/>
      <c r="E691" s="518"/>
      <c r="F691" s="284"/>
      <c r="G691" s="47" t="s">
        <v>37</v>
      </c>
      <c r="H691" s="286"/>
      <c r="I691" s="194" t="s">
        <v>38</v>
      </c>
      <c r="J691" s="51">
        <f>SUM(J690)</f>
        <v>15962000</v>
      </c>
      <c r="K691" s="52"/>
      <c r="L691" s="51">
        <f t="shared" si="41"/>
        <v>15962000</v>
      </c>
    </row>
    <row r="692" spans="1:16" x14ac:dyDescent="0.2">
      <c r="A692" s="476"/>
      <c r="B692" s="43"/>
      <c r="D692" s="476"/>
      <c r="E692" s="518"/>
      <c r="F692" s="284"/>
      <c r="G692" s="47"/>
      <c r="H692" s="286"/>
      <c r="I692" s="209"/>
      <c r="J692" s="67"/>
      <c r="K692" s="299"/>
      <c r="L692" s="192"/>
    </row>
    <row r="693" spans="1:16" ht="22.5" x14ac:dyDescent="0.2">
      <c r="B693" s="43"/>
      <c r="D693" s="477"/>
      <c r="E693" s="520" t="s">
        <v>454</v>
      </c>
      <c r="F693" s="358"/>
      <c r="G693" s="307"/>
      <c r="H693" s="360"/>
      <c r="I693" s="309" t="s">
        <v>884</v>
      </c>
      <c r="J693" s="229"/>
      <c r="K693" s="229"/>
      <c r="L693" s="137"/>
    </row>
    <row r="694" spans="1:16" s="165" customFormat="1" x14ac:dyDescent="0.2">
      <c r="A694" s="648"/>
      <c r="B694" s="583"/>
      <c r="C694" s="583"/>
      <c r="D694" s="800"/>
      <c r="E694" s="563"/>
      <c r="F694" s="792" t="s">
        <v>992</v>
      </c>
      <c r="G694" s="793"/>
      <c r="H694" s="794" t="s">
        <v>46</v>
      </c>
      <c r="I694" s="802" t="s">
        <v>10</v>
      </c>
      <c r="J694" s="797">
        <v>200000</v>
      </c>
      <c r="K694" s="797"/>
      <c r="L694" s="797">
        <f>SUM(J694:K694)</f>
        <v>200000</v>
      </c>
      <c r="M694" s="1014"/>
      <c r="N694" s="834"/>
      <c r="O694" s="163"/>
      <c r="P694" s="832"/>
    </row>
    <row r="695" spans="1:16" x14ac:dyDescent="0.2">
      <c r="B695" s="43"/>
      <c r="D695" s="477"/>
      <c r="E695" s="518"/>
      <c r="F695" s="284">
        <v>119</v>
      </c>
      <c r="G695" s="41"/>
      <c r="H695" s="285" t="s">
        <v>270</v>
      </c>
      <c r="I695" s="194" t="s">
        <v>20</v>
      </c>
      <c r="J695" s="51">
        <v>8340000</v>
      </c>
      <c r="K695" s="51"/>
      <c r="L695" s="51">
        <f>SUM(J695:K695)</f>
        <v>8340000</v>
      </c>
    </row>
    <row r="696" spans="1:16" x14ac:dyDescent="0.2">
      <c r="B696" s="43"/>
      <c r="D696" s="477"/>
      <c r="E696" s="518"/>
      <c r="F696" s="284"/>
      <c r="G696" s="47" t="s">
        <v>37</v>
      </c>
      <c r="H696" s="286"/>
      <c r="I696" s="194" t="s">
        <v>38</v>
      </c>
      <c r="J696" s="51">
        <f>SUM(J698-J697)</f>
        <v>4540000</v>
      </c>
      <c r="K696" s="51"/>
      <c r="L696" s="51">
        <f t="shared" ref="L696:L698" si="42">SUM(J696:K696)</f>
        <v>4540000</v>
      </c>
    </row>
    <row r="697" spans="1:16" x14ac:dyDescent="0.2">
      <c r="B697" s="43"/>
      <c r="D697" s="477"/>
      <c r="E697" s="518"/>
      <c r="F697" s="284"/>
      <c r="G697" s="291" t="s">
        <v>113</v>
      </c>
      <c r="H697" s="425"/>
      <c r="I697" s="248" t="s">
        <v>280</v>
      </c>
      <c r="J697" s="46">
        <v>4000000</v>
      </c>
      <c r="K697" s="52"/>
      <c r="L697" s="51">
        <f t="shared" si="42"/>
        <v>4000000</v>
      </c>
    </row>
    <row r="698" spans="1:16" x14ac:dyDescent="0.2">
      <c r="B698" s="43"/>
      <c r="D698" s="477"/>
      <c r="E698" s="518"/>
      <c r="F698" s="284"/>
      <c r="G698" s="41"/>
      <c r="H698" s="285"/>
      <c r="I698" s="202" t="s">
        <v>710</v>
      </c>
      <c r="J698" s="52">
        <f>SUM(J694:J695)</f>
        <v>8540000</v>
      </c>
      <c r="K698" s="52"/>
      <c r="L698" s="52">
        <f t="shared" si="42"/>
        <v>8540000</v>
      </c>
    </row>
    <row r="699" spans="1:16" x14ac:dyDescent="0.2">
      <c r="B699" s="43"/>
      <c r="D699" s="477"/>
      <c r="E699" s="518"/>
      <c r="F699" s="284"/>
      <c r="G699" s="41"/>
      <c r="H699" s="285"/>
      <c r="I699" s="242"/>
      <c r="J699" s="27"/>
      <c r="K699" s="27"/>
      <c r="L699" s="53"/>
    </row>
    <row r="700" spans="1:16" ht="33.75" x14ac:dyDescent="0.2">
      <c r="B700" s="43"/>
      <c r="D700" s="477"/>
      <c r="E700" s="520" t="s">
        <v>454</v>
      </c>
      <c r="F700" s="358"/>
      <c r="G700" s="307"/>
      <c r="H700" s="360"/>
      <c r="I700" s="309" t="s">
        <v>883</v>
      </c>
      <c r="J700" s="229"/>
      <c r="K700" s="229"/>
      <c r="L700" s="137"/>
    </row>
    <row r="701" spans="1:16" x14ac:dyDescent="0.2">
      <c r="B701" s="43"/>
      <c r="D701" s="477"/>
      <c r="E701" s="518"/>
      <c r="F701" s="284">
        <v>120</v>
      </c>
      <c r="G701" s="41"/>
      <c r="H701" s="285" t="s">
        <v>270</v>
      </c>
      <c r="I701" s="194" t="s">
        <v>20</v>
      </c>
      <c r="J701" s="51">
        <v>240000</v>
      </c>
      <c r="K701" s="51"/>
      <c r="L701" s="51">
        <f>SUM(J701:K701)</f>
        <v>240000</v>
      </c>
    </row>
    <row r="702" spans="1:16" x14ac:dyDescent="0.2">
      <c r="B702" s="43"/>
      <c r="D702" s="477"/>
      <c r="E702" s="518"/>
      <c r="F702" s="284"/>
      <c r="G702" s="47" t="s">
        <v>37</v>
      </c>
      <c r="H702" s="286"/>
      <c r="I702" s="194" t="s">
        <v>38</v>
      </c>
      <c r="J702" s="51">
        <f>SUM(J701)</f>
        <v>240000</v>
      </c>
      <c r="K702" s="51"/>
      <c r="L702" s="51">
        <f t="shared" ref="L702:L703" si="43">SUM(J702:K702)</f>
        <v>240000</v>
      </c>
    </row>
    <row r="703" spans="1:16" x14ac:dyDescent="0.2">
      <c r="B703" s="43"/>
      <c r="D703" s="477"/>
      <c r="E703" s="518"/>
      <c r="F703" s="284"/>
      <c r="G703" s="41"/>
      <c r="H703" s="285"/>
      <c r="I703" s="202" t="s">
        <v>710</v>
      </c>
      <c r="J703" s="52">
        <f>SUM(J701)</f>
        <v>240000</v>
      </c>
      <c r="K703" s="52"/>
      <c r="L703" s="52">
        <f t="shared" si="43"/>
        <v>240000</v>
      </c>
    </row>
    <row r="704" spans="1:16" x14ac:dyDescent="0.2">
      <c r="B704" s="43"/>
      <c r="D704" s="477"/>
      <c r="E704" s="518"/>
      <c r="F704" s="284"/>
      <c r="G704" s="41"/>
      <c r="H704" s="285"/>
      <c r="I704" s="102"/>
      <c r="J704" s="299"/>
      <c r="K704" s="299"/>
      <c r="L704" s="299"/>
    </row>
    <row r="705" spans="1:12" x14ac:dyDescent="0.2">
      <c r="A705" s="626"/>
      <c r="B705" s="627"/>
      <c r="C705" s="627"/>
      <c r="D705" s="553" t="s">
        <v>253</v>
      </c>
      <c r="E705" s="554"/>
      <c r="F705" s="638"/>
      <c r="G705" s="628"/>
      <c r="H705" s="629"/>
      <c r="I705" s="630" t="s">
        <v>934</v>
      </c>
      <c r="J705" s="631">
        <f>SUM(J713+J721+J731+J741+J747+J759+J765+J772+J781+J786+J793+J798+J806+J817+J824+J840+J830+J835+J753)</f>
        <v>139238431</v>
      </c>
      <c r="K705" s="631"/>
      <c r="L705" s="631">
        <f>SUM(J705:K705)</f>
        <v>139238431</v>
      </c>
    </row>
    <row r="706" spans="1:12" x14ac:dyDescent="0.2">
      <c r="A706" s="582"/>
      <c r="B706" s="583"/>
      <c r="C706" s="583"/>
      <c r="D706" s="562"/>
      <c r="E706" s="563"/>
      <c r="F706" s="407"/>
      <c r="G706" s="294"/>
      <c r="H706" s="584"/>
      <c r="I706" s="239"/>
      <c r="J706" s="71"/>
      <c r="K706" s="109"/>
      <c r="L706" s="233"/>
    </row>
    <row r="707" spans="1:12" x14ac:dyDescent="0.2">
      <c r="A707" s="476"/>
      <c r="B707" s="43"/>
      <c r="D707" s="476"/>
      <c r="E707" s="519"/>
      <c r="F707" s="404"/>
      <c r="G707" s="302"/>
      <c r="H707" s="419"/>
      <c r="I707" s="363" t="s">
        <v>272</v>
      </c>
      <c r="J707" s="364"/>
      <c r="K707" s="364"/>
      <c r="L707" s="382"/>
    </row>
    <row r="708" spans="1:12" x14ac:dyDescent="0.2">
      <c r="A708" s="476"/>
      <c r="B708" s="43"/>
      <c r="D708" s="43"/>
      <c r="E708" s="519" t="s">
        <v>265</v>
      </c>
      <c r="F708" s="404"/>
      <c r="G708" s="302"/>
      <c r="H708" s="422"/>
      <c r="I708" s="365" t="s">
        <v>438</v>
      </c>
      <c r="J708" s="366"/>
      <c r="K708" s="366"/>
      <c r="L708" s="369"/>
    </row>
    <row r="709" spans="1:12" x14ac:dyDescent="0.2">
      <c r="A709" s="550"/>
      <c r="B709" s="401"/>
      <c r="C709" s="401"/>
      <c r="D709" s="401"/>
      <c r="E709" s="521"/>
      <c r="F709" s="406"/>
      <c r="G709" s="203"/>
      <c r="H709" s="313"/>
      <c r="I709" s="17"/>
      <c r="J709" s="28"/>
      <c r="K709" s="28"/>
      <c r="L709" s="68"/>
    </row>
    <row r="710" spans="1:12" x14ac:dyDescent="0.2">
      <c r="A710" s="550"/>
      <c r="B710" s="401"/>
      <c r="C710" s="43">
        <v>160</v>
      </c>
      <c r="D710" s="476"/>
      <c r="E710" s="518"/>
      <c r="F710" s="284"/>
      <c r="G710" s="41"/>
      <c r="H710" s="285"/>
      <c r="I710" s="211" t="s">
        <v>288</v>
      </c>
      <c r="J710" s="67"/>
      <c r="K710" s="67"/>
      <c r="L710" s="192"/>
    </row>
    <row r="711" spans="1:12" x14ac:dyDescent="0.2">
      <c r="A711" s="550"/>
      <c r="B711" s="401"/>
      <c r="D711" s="476"/>
      <c r="E711" s="518"/>
      <c r="F711" s="284"/>
      <c r="G711" s="41"/>
      <c r="H711" s="285"/>
      <c r="I711" s="24"/>
      <c r="J711" s="28"/>
      <c r="K711" s="28"/>
      <c r="L711" s="68"/>
    </row>
    <row r="712" spans="1:12" x14ac:dyDescent="0.2">
      <c r="A712" s="476"/>
      <c r="B712" s="43"/>
      <c r="D712" s="476"/>
      <c r="E712" s="518"/>
      <c r="F712" s="285" t="s">
        <v>784</v>
      </c>
      <c r="G712" s="47"/>
      <c r="H712" s="408">
        <v>423</v>
      </c>
      <c r="I712" s="243" t="s">
        <v>306</v>
      </c>
      <c r="J712" s="51">
        <v>4550000</v>
      </c>
      <c r="K712" s="106"/>
      <c r="L712" s="51">
        <f>SUM(J712+K712)</f>
        <v>4550000</v>
      </c>
    </row>
    <row r="713" spans="1:12" x14ac:dyDescent="0.2">
      <c r="A713" s="476"/>
      <c r="B713" s="43"/>
      <c r="D713" s="476"/>
      <c r="E713" s="518"/>
      <c r="F713" s="284"/>
      <c r="G713" s="41"/>
      <c r="H713" s="284"/>
      <c r="I713" s="202" t="s">
        <v>595</v>
      </c>
      <c r="J713" s="52">
        <f>SUM(J712)</f>
        <v>4550000</v>
      </c>
      <c r="K713" s="52"/>
      <c r="L713" s="52">
        <f>SUM(L712)</f>
        <v>4550000</v>
      </c>
    </row>
    <row r="714" spans="1:12" x14ac:dyDescent="0.2">
      <c r="A714" s="476"/>
      <c r="B714" s="43"/>
      <c r="D714" s="476"/>
      <c r="E714" s="518"/>
      <c r="F714" s="284"/>
      <c r="G714" s="47" t="s">
        <v>37</v>
      </c>
      <c r="H714" s="286"/>
      <c r="I714" s="57" t="s">
        <v>38</v>
      </c>
      <c r="J714" s="52">
        <f>SUM(J712)</f>
        <v>4550000</v>
      </c>
      <c r="K714" s="52"/>
      <c r="L714" s="52">
        <f>SUM(J714+K714)</f>
        <v>4550000</v>
      </c>
    </row>
    <row r="715" spans="1:12" x14ac:dyDescent="0.2">
      <c r="D715" s="476"/>
      <c r="E715" s="518"/>
      <c r="F715" s="284"/>
      <c r="G715" s="294"/>
      <c r="H715" s="584"/>
      <c r="I715" s="239"/>
      <c r="J715" s="27"/>
      <c r="K715" s="27"/>
      <c r="L715" s="53"/>
    </row>
    <row r="716" spans="1:12" x14ac:dyDescent="0.2">
      <c r="D716" s="43"/>
      <c r="E716" s="519"/>
      <c r="F716" s="404"/>
      <c r="G716" s="302"/>
      <c r="H716" s="419"/>
      <c r="I716" s="363" t="s">
        <v>272</v>
      </c>
      <c r="J716" s="364"/>
      <c r="K716" s="364"/>
      <c r="L716" s="382"/>
    </row>
    <row r="717" spans="1:12" x14ac:dyDescent="0.2">
      <c r="A717" s="648"/>
      <c r="B717" s="648"/>
      <c r="C717" s="583"/>
      <c r="D717" s="583"/>
      <c r="E717" s="519" t="s">
        <v>265</v>
      </c>
      <c r="F717" s="404"/>
      <c r="G717" s="302"/>
      <c r="H717" s="422"/>
      <c r="I717" s="365" t="s">
        <v>445</v>
      </c>
      <c r="J717" s="366"/>
      <c r="K717" s="366"/>
      <c r="L717" s="369"/>
    </row>
    <row r="718" spans="1:12" x14ac:dyDescent="0.2">
      <c r="D718" s="477"/>
      <c r="E718" s="518"/>
      <c r="F718" s="284"/>
      <c r="G718" s="294"/>
      <c r="H718" s="433"/>
      <c r="I718" s="239"/>
      <c r="J718" s="223"/>
      <c r="K718" s="223"/>
      <c r="L718" s="224"/>
    </row>
    <row r="719" spans="1:12" x14ac:dyDescent="0.2">
      <c r="C719" s="43">
        <v>487</v>
      </c>
      <c r="E719" s="518"/>
      <c r="F719" s="284"/>
      <c r="G719" s="41"/>
      <c r="H719" s="285"/>
      <c r="I719" s="211" t="s">
        <v>109</v>
      </c>
      <c r="J719" s="67"/>
      <c r="K719" s="67"/>
      <c r="L719" s="192"/>
    </row>
    <row r="720" spans="1:12" ht="22.5" x14ac:dyDescent="0.2">
      <c r="E720" s="518"/>
      <c r="F720" s="284">
        <v>122</v>
      </c>
      <c r="G720" s="41"/>
      <c r="H720" s="285" t="s">
        <v>82</v>
      </c>
      <c r="I720" s="193" t="s">
        <v>301</v>
      </c>
      <c r="J720" s="51">
        <v>12700000</v>
      </c>
      <c r="K720" s="51"/>
      <c r="L720" s="51">
        <f>SUM(J720+K720)</f>
        <v>12700000</v>
      </c>
    </row>
    <row r="721" spans="1:12" x14ac:dyDescent="0.2">
      <c r="E721" s="518"/>
      <c r="F721" s="284"/>
      <c r="G721" s="41"/>
      <c r="H721" s="285"/>
      <c r="I721" s="202" t="s">
        <v>595</v>
      </c>
      <c r="J721" s="52">
        <f>SUM(J720)</f>
        <v>12700000</v>
      </c>
      <c r="K721" s="52"/>
      <c r="L721" s="52">
        <f t="shared" ref="L721" si="44">SUM(L720)</f>
        <v>12700000</v>
      </c>
    </row>
    <row r="722" spans="1:12" x14ac:dyDescent="0.2">
      <c r="E722" s="518"/>
      <c r="F722" s="284"/>
      <c r="G722" s="41"/>
      <c r="H722" s="284"/>
      <c r="I722" s="211" t="s">
        <v>110</v>
      </c>
      <c r="J722" s="67"/>
      <c r="K722" s="67"/>
      <c r="L722" s="192"/>
    </row>
    <row r="723" spans="1:12" x14ac:dyDescent="0.2">
      <c r="E723" s="518"/>
      <c r="F723" s="284"/>
      <c r="G723" s="47" t="s">
        <v>37</v>
      </c>
      <c r="H723" s="286"/>
      <c r="I723" s="194" t="s">
        <v>38</v>
      </c>
      <c r="J723" s="51">
        <f>SUM(J721)</f>
        <v>12700000</v>
      </c>
      <c r="K723" s="51"/>
      <c r="L723" s="51">
        <f>SUM(J723:J723)</f>
        <v>12700000</v>
      </c>
    </row>
    <row r="724" spans="1:12" x14ac:dyDescent="0.2">
      <c r="D724" s="43"/>
      <c r="E724" s="518"/>
      <c r="F724" s="284"/>
      <c r="G724" s="47"/>
      <c r="H724" s="286"/>
      <c r="I724" s="108"/>
      <c r="J724" s="109"/>
      <c r="K724" s="109"/>
      <c r="L724" s="205"/>
    </row>
    <row r="725" spans="1:12" x14ac:dyDescent="0.2">
      <c r="D725" s="43"/>
      <c r="E725" s="519"/>
      <c r="F725" s="404"/>
      <c r="G725" s="302"/>
      <c r="H725" s="419"/>
      <c r="I725" s="363" t="s">
        <v>272</v>
      </c>
      <c r="J725" s="609"/>
      <c r="K725" s="609"/>
      <c r="L725" s="610"/>
    </row>
    <row r="726" spans="1:12" x14ac:dyDescent="0.2">
      <c r="D726" s="43"/>
      <c r="E726" s="519" t="s">
        <v>265</v>
      </c>
      <c r="F726" s="404"/>
      <c r="G726" s="302"/>
      <c r="H726" s="419"/>
      <c r="I726" s="650" t="s">
        <v>445</v>
      </c>
      <c r="J726" s="651"/>
      <c r="K726" s="651"/>
      <c r="L726" s="652"/>
    </row>
    <row r="727" spans="1:12" x14ac:dyDescent="0.2">
      <c r="D727" s="43"/>
      <c r="E727" s="518"/>
      <c r="F727" s="284"/>
      <c r="G727" s="41"/>
      <c r="H727" s="285"/>
      <c r="I727" s="17"/>
      <c r="J727" s="167"/>
      <c r="K727" s="167"/>
      <c r="L727" s="300"/>
    </row>
    <row r="728" spans="1:12" x14ac:dyDescent="0.2">
      <c r="C728" s="43">
        <v>950</v>
      </c>
      <c r="D728" s="43"/>
      <c r="E728" s="518"/>
      <c r="F728" s="284"/>
      <c r="G728" s="41"/>
      <c r="H728" s="285"/>
      <c r="I728" s="270" t="s">
        <v>78</v>
      </c>
      <c r="J728" s="331"/>
      <c r="K728" s="331"/>
      <c r="L728" s="332"/>
    </row>
    <row r="729" spans="1:12" ht="15" x14ac:dyDescent="0.2">
      <c r="A729" s="476"/>
      <c r="B729" s="43"/>
      <c r="C729" s="403"/>
      <c r="D729" s="476"/>
      <c r="E729" s="518"/>
      <c r="F729" s="284"/>
      <c r="G729" s="41"/>
      <c r="H729" s="285"/>
      <c r="I729" s="17"/>
      <c r="J729" s="167"/>
      <c r="K729" s="167"/>
      <c r="L729" s="300"/>
    </row>
    <row r="730" spans="1:12" ht="22.5" x14ac:dyDescent="0.2">
      <c r="A730" s="476"/>
      <c r="B730" s="43"/>
      <c r="C730" s="403"/>
      <c r="D730" s="476"/>
      <c r="E730" s="518"/>
      <c r="F730" s="284">
        <v>123</v>
      </c>
      <c r="G730" s="41"/>
      <c r="H730" s="285" t="s">
        <v>82</v>
      </c>
      <c r="I730" s="246" t="s">
        <v>309</v>
      </c>
      <c r="J730" s="51">
        <v>8115000</v>
      </c>
      <c r="K730" s="51"/>
      <c r="L730" s="51">
        <f>SUM(J730+K730)</f>
        <v>8115000</v>
      </c>
    </row>
    <row r="731" spans="1:12" ht="15" x14ac:dyDescent="0.2">
      <c r="A731" s="476"/>
      <c r="B731" s="43"/>
      <c r="C731" s="403"/>
      <c r="D731" s="476"/>
      <c r="E731" s="518"/>
      <c r="F731" s="284"/>
      <c r="G731" s="41"/>
      <c r="H731" s="285"/>
      <c r="I731" s="202" t="s">
        <v>605</v>
      </c>
      <c r="J731" s="52">
        <f>SUM(J730)</f>
        <v>8115000</v>
      </c>
      <c r="K731" s="52"/>
      <c r="L731" s="52">
        <f>SUM(L730)</f>
        <v>8115000</v>
      </c>
    </row>
    <row r="732" spans="1:12" x14ac:dyDescent="0.2">
      <c r="E732" s="518"/>
      <c r="F732" s="284"/>
      <c r="G732" s="47" t="s">
        <v>37</v>
      </c>
      <c r="H732" s="286"/>
      <c r="I732" s="194" t="s">
        <v>38</v>
      </c>
      <c r="J732" s="51">
        <f>SUM(J731)</f>
        <v>8115000</v>
      </c>
      <c r="K732" s="51"/>
      <c r="L732" s="51">
        <f>SUM(J732+K732)</f>
        <v>8115000</v>
      </c>
    </row>
    <row r="733" spans="1:12" x14ac:dyDescent="0.2">
      <c r="D733" s="476"/>
      <c r="E733" s="518"/>
      <c r="F733" s="284"/>
      <c r="G733" s="41"/>
      <c r="H733" s="285"/>
      <c r="I733" s="24"/>
      <c r="J733" s="167"/>
      <c r="K733" s="223"/>
      <c r="L733" s="300"/>
    </row>
    <row r="734" spans="1:12" x14ac:dyDescent="0.2">
      <c r="D734" s="43"/>
      <c r="E734" s="519"/>
      <c r="F734" s="404"/>
      <c r="G734" s="302"/>
      <c r="H734" s="419"/>
      <c r="I734" s="363" t="s">
        <v>274</v>
      </c>
      <c r="J734" s="364"/>
      <c r="K734" s="364"/>
      <c r="L734" s="304"/>
    </row>
    <row r="735" spans="1:12" x14ac:dyDescent="0.2">
      <c r="A735" s="648"/>
      <c r="B735" s="648"/>
      <c r="C735" s="583"/>
      <c r="D735" s="583"/>
      <c r="E735" s="519" t="s">
        <v>256</v>
      </c>
      <c r="F735" s="404"/>
      <c r="G735" s="302"/>
      <c r="H735" s="422"/>
      <c r="I735" s="365" t="s">
        <v>637</v>
      </c>
      <c r="J735" s="366"/>
      <c r="K735" s="366"/>
      <c r="L735" s="369"/>
    </row>
    <row r="736" spans="1:12" x14ac:dyDescent="0.2">
      <c r="D736" s="477"/>
      <c r="E736" s="518"/>
      <c r="F736" s="284"/>
      <c r="G736" s="294"/>
      <c r="H736" s="433"/>
      <c r="I736" s="239"/>
      <c r="J736" s="28"/>
      <c r="K736" s="28"/>
      <c r="L736" s="68"/>
    </row>
    <row r="737" spans="1:12" x14ac:dyDescent="0.2">
      <c r="C737" s="43">
        <v>490</v>
      </c>
      <c r="D737" s="477"/>
      <c r="E737" s="518"/>
      <c r="F737" s="284"/>
      <c r="G737" s="41"/>
      <c r="H737" s="285"/>
      <c r="I737" s="24" t="s">
        <v>111</v>
      </c>
      <c r="J737" s="28"/>
      <c r="K737" s="28"/>
      <c r="L737" s="68"/>
    </row>
    <row r="738" spans="1:12" x14ac:dyDescent="0.2">
      <c r="E738" s="518"/>
      <c r="F738" s="284"/>
      <c r="G738" s="41"/>
      <c r="H738" s="285"/>
      <c r="I738" s="24"/>
      <c r="J738" s="28"/>
      <c r="K738" s="28"/>
      <c r="L738" s="68"/>
    </row>
    <row r="739" spans="1:12" ht="22.5" x14ac:dyDescent="0.2">
      <c r="E739" s="518"/>
      <c r="F739" s="284">
        <v>124</v>
      </c>
      <c r="G739" s="41"/>
      <c r="H739" s="285" t="s">
        <v>82</v>
      </c>
      <c r="I739" s="245" t="s">
        <v>302</v>
      </c>
      <c r="J739" s="51">
        <v>9461603</v>
      </c>
      <c r="K739" s="51"/>
      <c r="L739" s="51">
        <f>SUM(J739:K739)</f>
        <v>9461603</v>
      </c>
    </row>
    <row r="740" spans="1:12" ht="29.25" customHeight="1" x14ac:dyDescent="0.2">
      <c r="E740" s="518"/>
      <c r="F740" s="284" t="s">
        <v>1028</v>
      </c>
      <c r="G740" s="41"/>
      <c r="H740" s="284">
        <v>451</v>
      </c>
      <c r="I740" s="245" t="s">
        <v>958</v>
      </c>
      <c r="J740" s="51">
        <v>2000000</v>
      </c>
      <c r="K740" s="51"/>
      <c r="L740" s="51">
        <f>SUM(J740:K740)</f>
        <v>2000000</v>
      </c>
    </row>
    <row r="741" spans="1:12" x14ac:dyDescent="0.2">
      <c r="B741" s="43"/>
      <c r="D741" s="476"/>
      <c r="E741" s="518"/>
      <c r="F741" s="284"/>
      <c r="G741" s="41"/>
      <c r="H741" s="285"/>
      <c r="I741" s="202" t="s">
        <v>615</v>
      </c>
      <c r="J741" s="52">
        <f>SUM(J739:J740)</f>
        <v>11461603</v>
      </c>
      <c r="K741" s="52"/>
      <c r="L741" s="52">
        <f>SUM(L739:L740)</f>
        <v>11461603</v>
      </c>
    </row>
    <row r="742" spans="1:12" x14ac:dyDescent="0.2">
      <c r="B742" s="43"/>
      <c r="D742" s="476"/>
      <c r="E742" s="518"/>
      <c r="F742" s="284"/>
      <c r="G742" s="47" t="s">
        <v>37</v>
      </c>
      <c r="H742" s="286"/>
      <c r="I742" s="194" t="s">
        <v>38</v>
      </c>
      <c r="J742" s="46">
        <f>SUM(J741-J743)</f>
        <v>10461603</v>
      </c>
      <c r="K742" s="52"/>
      <c r="L742" s="46">
        <f>SUM(J742:K742)</f>
        <v>10461603</v>
      </c>
    </row>
    <row r="743" spans="1:12" x14ac:dyDescent="0.2">
      <c r="B743" s="43"/>
      <c r="D743" s="476"/>
      <c r="E743" s="518"/>
      <c r="F743" s="284"/>
      <c r="G743" s="47" t="s">
        <v>113</v>
      </c>
      <c r="H743" s="286"/>
      <c r="I743" s="248" t="s">
        <v>280</v>
      </c>
      <c r="J743" s="46">
        <v>1000000</v>
      </c>
      <c r="K743" s="52"/>
      <c r="L743" s="46">
        <f>SUM(J743:K743)</f>
        <v>1000000</v>
      </c>
    </row>
    <row r="744" spans="1:12" x14ac:dyDescent="0.2">
      <c r="B744" s="43"/>
      <c r="D744" s="476"/>
      <c r="E744" s="518"/>
      <c r="F744" s="284"/>
      <c r="G744" s="41"/>
      <c r="H744" s="285"/>
      <c r="I744" s="815"/>
      <c r="J744" s="48"/>
      <c r="K744" s="52"/>
      <c r="L744" s="52"/>
    </row>
    <row r="745" spans="1:12" x14ac:dyDescent="0.2">
      <c r="A745" s="476"/>
      <c r="B745" s="43"/>
      <c r="C745" s="43">
        <v>160</v>
      </c>
      <c r="D745" s="476"/>
      <c r="E745" s="520">
        <v>1501</v>
      </c>
      <c r="F745" s="358"/>
      <c r="G745" s="307"/>
      <c r="H745" s="358"/>
      <c r="I745" s="362" t="s">
        <v>882</v>
      </c>
      <c r="J745" s="71"/>
      <c r="K745" s="71"/>
      <c r="L745" s="233"/>
    </row>
    <row r="746" spans="1:12" x14ac:dyDescent="0.2">
      <c r="A746" s="476"/>
      <c r="B746" s="43"/>
      <c r="D746" s="476"/>
      <c r="E746" s="518"/>
      <c r="F746" s="284">
        <v>125</v>
      </c>
      <c r="G746" s="41"/>
      <c r="H746" s="284">
        <v>481</v>
      </c>
      <c r="I746" s="194" t="s">
        <v>171</v>
      </c>
      <c r="J746" s="963">
        <f>10230000+300000</f>
        <v>10530000</v>
      </c>
      <c r="K746" s="969"/>
      <c r="L746" s="963">
        <f>SUM(J746+K746)</f>
        <v>10530000</v>
      </c>
    </row>
    <row r="747" spans="1:12" x14ac:dyDescent="0.2">
      <c r="A747" s="476"/>
      <c r="B747" s="43"/>
      <c r="D747" s="476"/>
      <c r="E747" s="518"/>
      <c r="F747" s="284"/>
      <c r="G747" s="41"/>
      <c r="H747" s="284"/>
      <c r="I747" s="208" t="s">
        <v>710</v>
      </c>
      <c r="J747" s="52">
        <f>SUM(J746)</f>
        <v>10530000</v>
      </c>
      <c r="K747" s="52"/>
      <c r="L747" s="52">
        <f t="shared" ref="L747" si="45">SUM(L746)</f>
        <v>10530000</v>
      </c>
    </row>
    <row r="748" spans="1:12" ht="15" x14ac:dyDescent="0.25">
      <c r="A748" s="476"/>
      <c r="B748" s="43"/>
      <c r="D748" s="476"/>
      <c r="E748" s="518"/>
      <c r="F748" s="284"/>
      <c r="G748" s="47" t="s">
        <v>37</v>
      </c>
      <c r="H748" s="287"/>
      <c r="I748" s="194" t="s">
        <v>38</v>
      </c>
      <c r="J748" s="51">
        <f>SUM(J747)</f>
        <v>10530000</v>
      </c>
      <c r="K748" s="51"/>
      <c r="L748" s="51">
        <f>SUM(J748+K748)</f>
        <v>10530000</v>
      </c>
    </row>
    <row r="749" spans="1:12" ht="15" x14ac:dyDescent="0.25">
      <c r="A749" s="476"/>
      <c r="B749" s="43"/>
      <c r="D749" s="476"/>
      <c r="E749" s="518"/>
      <c r="F749" s="284"/>
      <c r="G749" s="47"/>
      <c r="H749" s="287"/>
      <c r="I749" s="209"/>
      <c r="J749" s="67"/>
      <c r="K749" s="67"/>
      <c r="L749" s="192"/>
    </row>
    <row r="750" spans="1:12" ht="22.5" x14ac:dyDescent="0.2">
      <c r="A750" s="476"/>
      <c r="B750" s="43"/>
      <c r="D750" s="476"/>
      <c r="E750" s="520">
        <v>1501</v>
      </c>
      <c r="F750" s="358"/>
      <c r="G750" s="307"/>
      <c r="H750" s="358"/>
      <c r="I750" s="362" t="s">
        <v>1050</v>
      </c>
      <c r="J750" s="71"/>
      <c r="K750" s="71"/>
      <c r="L750" s="233"/>
    </row>
    <row r="751" spans="1:12" x14ac:dyDescent="0.2">
      <c r="A751" s="476"/>
      <c r="B751" s="43"/>
      <c r="D751" s="476"/>
      <c r="E751" s="518"/>
      <c r="F751" s="284" t="s">
        <v>1051</v>
      </c>
      <c r="G751" s="41"/>
      <c r="H751" s="284">
        <v>481</v>
      </c>
      <c r="I751" s="194" t="s">
        <v>1053</v>
      </c>
      <c r="J751" s="51">
        <v>40000</v>
      </c>
      <c r="K751" s="52"/>
      <c r="L751" s="51">
        <f>SUM(J751+K751)</f>
        <v>40000</v>
      </c>
    </row>
    <row r="752" spans="1:12" x14ac:dyDescent="0.2">
      <c r="A752" s="476"/>
      <c r="B752" s="43"/>
      <c r="D752" s="476"/>
      <c r="E752" s="518"/>
      <c r="F752" s="284" t="s">
        <v>1052</v>
      </c>
      <c r="G752" s="41"/>
      <c r="H752" s="284">
        <v>481</v>
      </c>
      <c r="I752" s="194" t="s">
        <v>1054</v>
      </c>
      <c r="J752" s="46">
        <v>25000</v>
      </c>
      <c r="K752" s="52"/>
      <c r="L752" s="51">
        <f t="shared" ref="L752:L753" si="46">SUM(J752+K752)</f>
        <v>25000</v>
      </c>
    </row>
    <row r="753" spans="1:12" x14ac:dyDescent="0.2">
      <c r="A753" s="476"/>
      <c r="B753" s="43"/>
      <c r="D753" s="476"/>
      <c r="E753" s="518"/>
      <c r="F753" s="284"/>
      <c r="G753" s="41"/>
      <c r="H753" s="284"/>
      <c r="I753" s="208" t="s">
        <v>710</v>
      </c>
      <c r="J753" s="52">
        <f>SUM(J751:J752)</f>
        <v>65000</v>
      </c>
      <c r="K753" s="52"/>
      <c r="L753" s="174">
        <f t="shared" si="46"/>
        <v>65000</v>
      </c>
    </row>
    <row r="754" spans="1:12" ht="15" x14ac:dyDescent="0.25">
      <c r="A754" s="476"/>
      <c r="B754" s="43"/>
      <c r="D754" s="476"/>
      <c r="E754" s="518"/>
      <c r="F754" s="284"/>
      <c r="G754" s="47" t="s">
        <v>37</v>
      </c>
      <c r="H754" s="287"/>
      <c r="I754" s="194" t="s">
        <v>38</v>
      </c>
      <c r="J754" s="51">
        <f>SUM(J753)</f>
        <v>65000</v>
      </c>
      <c r="K754" s="51"/>
      <c r="L754" s="51">
        <f>SUM(J754+K754)</f>
        <v>65000</v>
      </c>
    </row>
    <row r="755" spans="1:12" ht="15" x14ac:dyDescent="0.25">
      <c r="A755" s="476"/>
      <c r="B755" s="43"/>
      <c r="D755" s="476"/>
      <c r="E755" s="518"/>
      <c r="F755" s="284"/>
      <c r="G755" s="47"/>
      <c r="H755" s="287"/>
      <c r="I755" s="211"/>
      <c r="J755" s="299"/>
      <c r="K755" s="299"/>
      <c r="L755" s="49"/>
    </row>
    <row r="756" spans="1:12" ht="22.5" x14ac:dyDescent="0.2">
      <c r="B756" s="43"/>
      <c r="C756" s="43">
        <v>490</v>
      </c>
      <c r="D756" s="476"/>
      <c r="E756" s="520" t="s">
        <v>253</v>
      </c>
      <c r="F756" s="358"/>
      <c r="G756" s="374"/>
      <c r="H756" s="360"/>
      <c r="I756" s="368" t="s">
        <v>881</v>
      </c>
      <c r="J756" s="234"/>
      <c r="K756" s="299"/>
      <c r="L756" s="49"/>
    </row>
    <row r="757" spans="1:12" x14ac:dyDescent="0.2">
      <c r="B757" s="43"/>
      <c r="D757" s="476"/>
      <c r="E757" s="518"/>
      <c r="F757" s="284">
        <v>126</v>
      </c>
      <c r="G757" s="41"/>
      <c r="H757" s="285" t="s">
        <v>46</v>
      </c>
      <c r="I757" s="194" t="s">
        <v>10</v>
      </c>
      <c r="J757" s="56">
        <v>600000</v>
      </c>
      <c r="K757" s="51"/>
      <c r="L757" s="51">
        <f>SUM(J757:K757)</f>
        <v>600000</v>
      </c>
    </row>
    <row r="758" spans="1:12" x14ac:dyDescent="0.2">
      <c r="B758" s="43"/>
      <c r="D758" s="476"/>
      <c r="E758" s="518"/>
      <c r="F758" s="284"/>
      <c r="G758" s="47" t="s">
        <v>37</v>
      </c>
      <c r="H758" s="286"/>
      <c r="I758" s="194" t="s">
        <v>38</v>
      </c>
      <c r="J758" s="56">
        <f>SUM(J757)</f>
        <v>600000</v>
      </c>
      <c r="K758" s="51"/>
      <c r="L758" s="51">
        <f>SUM(J757:K757)</f>
        <v>600000</v>
      </c>
    </row>
    <row r="759" spans="1:12" x14ac:dyDescent="0.2">
      <c r="E759" s="518"/>
      <c r="F759" s="284"/>
      <c r="G759" s="41"/>
      <c r="H759" s="285"/>
      <c r="I759" s="202" t="s">
        <v>710</v>
      </c>
      <c r="J759" s="48">
        <f>SUM(J758)</f>
        <v>600000</v>
      </c>
      <c r="K759" s="52"/>
      <c r="L759" s="52">
        <f>SUM(J758:K758)</f>
        <v>600000</v>
      </c>
    </row>
    <row r="760" spans="1:12" x14ac:dyDescent="0.2">
      <c r="D760" s="477"/>
      <c r="E760" s="518"/>
      <c r="F760" s="284"/>
      <c r="G760" s="41"/>
      <c r="H760" s="285"/>
      <c r="I760" s="24"/>
      <c r="J760" s="167"/>
      <c r="K760" s="167"/>
      <c r="L760" s="300"/>
    </row>
    <row r="761" spans="1:12" x14ac:dyDescent="0.2">
      <c r="A761" s="476"/>
      <c r="B761" s="43"/>
      <c r="C761" s="43">
        <v>490</v>
      </c>
      <c r="E761" s="518"/>
      <c r="F761" s="284"/>
      <c r="G761" s="41"/>
      <c r="H761" s="285"/>
      <c r="I761" s="211" t="s">
        <v>111</v>
      </c>
      <c r="J761" s="67"/>
      <c r="K761" s="67"/>
      <c r="L761" s="192"/>
    </row>
    <row r="762" spans="1:12" x14ac:dyDescent="0.2">
      <c r="A762" s="476"/>
      <c r="B762" s="43"/>
      <c r="E762" s="518"/>
      <c r="F762" s="284"/>
      <c r="G762" s="41"/>
      <c r="H762" s="284"/>
      <c r="I762" s="26"/>
      <c r="J762" s="27"/>
      <c r="K762" s="27"/>
      <c r="L762" s="53"/>
    </row>
    <row r="763" spans="1:12" x14ac:dyDescent="0.2">
      <c r="A763" s="476"/>
      <c r="B763" s="43"/>
      <c r="E763" s="520" t="s">
        <v>253</v>
      </c>
      <c r="F763" s="358"/>
      <c r="G763" s="307"/>
      <c r="H763" s="358"/>
      <c r="I763" s="370" t="s">
        <v>880</v>
      </c>
      <c r="J763" s="299"/>
      <c r="K763" s="299"/>
      <c r="L763" s="49"/>
    </row>
    <row r="764" spans="1:12" x14ac:dyDescent="0.2">
      <c r="B764" s="43"/>
      <c r="E764" s="518"/>
      <c r="F764" s="284">
        <v>127</v>
      </c>
      <c r="G764" s="41"/>
      <c r="H764" s="284">
        <v>454</v>
      </c>
      <c r="I764" s="243" t="s">
        <v>470</v>
      </c>
      <c r="J764" s="51">
        <v>13370000</v>
      </c>
      <c r="K764" s="51"/>
      <c r="L764" s="51">
        <f>SUM(J764+K764)</f>
        <v>13370000</v>
      </c>
    </row>
    <row r="765" spans="1:12" x14ac:dyDescent="0.2">
      <c r="B765" s="43"/>
      <c r="D765" s="476"/>
      <c r="E765" s="518"/>
      <c r="F765" s="284"/>
      <c r="G765" s="41"/>
      <c r="H765" s="284"/>
      <c r="I765" s="202" t="s">
        <v>710</v>
      </c>
      <c r="J765" s="48">
        <f>SUM(J764)</f>
        <v>13370000</v>
      </c>
      <c r="K765" s="52"/>
      <c r="L765" s="52">
        <f>SUM(J765+K765)</f>
        <v>13370000</v>
      </c>
    </row>
    <row r="766" spans="1:12" x14ac:dyDescent="0.2">
      <c r="B766" s="160"/>
      <c r="C766" s="160"/>
      <c r="D766" s="474"/>
      <c r="E766" s="518"/>
      <c r="F766" s="292"/>
      <c r="G766" s="47" t="s">
        <v>37</v>
      </c>
      <c r="H766" s="286"/>
      <c r="I766" s="194" t="s">
        <v>38</v>
      </c>
      <c r="J766" s="56">
        <f>SUM(J765)</f>
        <v>13370000</v>
      </c>
      <c r="K766" s="52"/>
      <c r="L766" s="51">
        <f>SUM(J766+K766)</f>
        <v>13370000</v>
      </c>
    </row>
    <row r="767" spans="1:12" x14ac:dyDescent="0.2">
      <c r="D767" s="477"/>
      <c r="E767" s="518"/>
      <c r="F767" s="284"/>
      <c r="G767" s="70"/>
      <c r="H767" s="292"/>
      <c r="I767" s="161"/>
      <c r="J767" s="167"/>
      <c r="K767" s="167"/>
      <c r="L767" s="300"/>
    </row>
    <row r="768" spans="1:12" x14ac:dyDescent="0.2">
      <c r="A768" s="476"/>
      <c r="B768" s="43"/>
      <c r="C768" s="43">
        <v>490</v>
      </c>
      <c r="E768" s="518"/>
      <c r="F768" s="284"/>
      <c r="G768" s="41"/>
      <c r="H768" s="285"/>
      <c r="I768" s="211" t="s">
        <v>111</v>
      </c>
      <c r="J768" s="329"/>
      <c r="K768" s="329"/>
      <c r="L768" s="330"/>
    </row>
    <row r="769" spans="1:12" x14ac:dyDescent="0.2">
      <c r="A769" s="476"/>
      <c r="B769" s="43"/>
      <c r="E769" s="518"/>
      <c r="F769" s="284"/>
      <c r="G769" s="41"/>
      <c r="H769" s="284"/>
      <c r="I769" s="26"/>
      <c r="J769" s="27"/>
      <c r="K769" s="27"/>
      <c r="L769" s="53"/>
    </row>
    <row r="770" spans="1:12" ht="22.5" x14ac:dyDescent="0.2">
      <c r="A770" s="476"/>
      <c r="B770" s="43"/>
      <c r="E770" s="520" t="s">
        <v>253</v>
      </c>
      <c r="F770" s="358"/>
      <c r="G770" s="307"/>
      <c r="H770" s="358"/>
      <c r="I770" s="309" t="s">
        <v>879</v>
      </c>
      <c r="J770" s="299"/>
      <c r="K770" s="299"/>
      <c r="L770" s="49"/>
    </row>
    <row r="771" spans="1:12" x14ac:dyDescent="0.2">
      <c r="B771" s="43"/>
      <c r="E771" s="518"/>
      <c r="F771" s="284">
        <v>128</v>
      </c>
      <c r="G771" s="41"/>
      <c r="H771" s="284">
        <v>454</v>
      </c>
      <c r="I771" s="243" t="s">
        <v>470</v>
      </c>
      <c r="J771" s="51">
        <v>5000000</v>
      </c>
      <c r="K771" s="51"/>
      <c r="L771" s="51">
        <f>SUM(J771+K771)</f>
        <v>5000000</v>
      </c>
    </row>
    <row r="772" spans="1:12" x14ac:dyDescent="0.2">
      <c r="B772" s="160"/>
      <c r="C772" s="160"/>
      <c r="D772" s="474"/>
      <c r="E772" s="518"/>
      <c r="F772" s="284"/>
      <c r="G772" s="41"/>
      <c r="H772" s="284"/>
      <c r="I772" s="202" t="s">
        <v>704</v>
      </c>
      <c r="J772" s="48">
        <f>SUM(J771)</f>
        <v>5000000</v>
      </c>
      <c r="K772" s="52"/>
      <c r="L772" s="52">
        <f>SUM(J772+K772)</f>
        <v>5000000</v>
      </c>
    </row>
    <row r="773" spans="1:12" x14ac:dyDescent="0.2">
      <c r="B773" s="160"/>
      <c r="C773" s="160"/>
      <c r="D773" s="474"/>
      <c r="E773" s="518"/>
      <c r="F773" s="284"/>
      <c r="G773" s="47" t="s">
        <v>37</v>
      </c>
      <c r="H773" s="286"/>
      <c r="I773" s="194" t="s">
        <v>38</v>
      </c>
      <c r="J773" s="56">
        <f>SUM(J772)</f>
        <v>5000000</v>
      </c>
      <c r="K773" s="52"/>
      <c r="L773" s="51">
        <f>SUM(J773+K773)</f>
        <v>5000000</v>
      </c>
    </row>
    <row r="774" spans="1:12" x14ac:dyDescent="0.2">
      <c r="D774" s="477"/>
      <c r="E774" s="518"/>
      <c r="F774" s="284"/>
      <c r="G774" s="41"/>
      <c r="H774" s="284"/>
      <c r="I774" s="24"/>
      <c r="J774" s="27"/>
      <c r="K774" s="27"/>
      <c r="L774" s="53"/>
    </row>
    <row r="775" spans="1:12" x14ac:dyDescent="0.2">
      <c r="A775" s="476"/>
      <c r="B775" s="43"/>
      <c r="C775" s="43">
        <v>490</v>
      </c>
      <c r="E775" s="518"/>
      <c r="F775" s="284"/>
      <c r="G775" s="41"/>
      <c r="H775" s="285"/>
      <c r="I775" s="211" t="s">
        <v>111</v>
      </c>
      <c r="J775" s="329"/>
      <c r="K775" s="329"/>
      <c r="L775" s="330"/>
    </row>
    <row r="776" spans="1:12" x14ac:dyDescent="0.2">
      <c r="A776" s="476"/>
      <c r="B776" s="43"/>
      <c r="E776" s="518"/>
      <c r="F776" s="284"/>
      <c r="G776" s="41"/>
      <c r="H776" s="284"/>
      <c r="I776" s="26"/>
      <c r="J776" s="167"/>
      <c r="K776" s="167"/>
      <c r="L776" s="300"/>
    </row>
    <row r="777" spans="1:12" x14ac:dyDescent="0.2">
      <c r="A777" s="476"/>
      <c r="B777" s="43"/>
      <c r="E777" s="520" t="s">
        <v>253</v>
      </c>
      <c r="F777" s="358"/>
      <c r="G777" s="307"/>
      <c r="H777" s="358"/>
      <c r="I777" s="371" t="s">
        <v>878</v>
      </c>
      <c r="J777" s="71"/>
      <c r="K777" s="71"/>
      <c r="L777" s="233"/>
    </row>
    <row r="778" spans="1:12" x14ac:dyDescent="0.2">
      <c r="A778" s="476"/>
      <c r="B778" s="43"/>
      <c r="E778" s="518"/>
      <c r="F778" s="284">
        <v>129</v>
      </c>
      <c r="G778" s="41"/>
      <c r="H778" s="284">
        <v>423</v>
      </c>
      <c r="I778" s="200" t="s">
        <v>682</v>
      </c>
      <c r="J778" s="51">
        <v>600000</v>
      </c>
      <c r="K778" s="51"/>
      <c r="L778" s="51">
        <f>SUM(J778:K778)</f>
        <v>600000</v>
      </c>
    </row>
    <row r="779" spans="1:12" ht="22.5" x14ac:dyDescent="0.2">
      <c r="A779" s="476"/>
      <c r="B779" s="43"/>
      <c r="E779" s="518"/>
      <c r="F779" s="284">
        <v>130</v>
      </c>
      <c r="G779" s="41"/>
      <c r="H779" s="284">
        <v>423</v>
      </c>
      <c r="I779" s="200" t="s">
        <v>683</v>
      </c>
      <c r="J779" s="51">
        <v>600000</v>
      </c>
      <c r="K779" s="51"/>
      <c r="L779" s="51">
        <f>SUM(J778:K778)</f>
        <v>600000</v>
      </c>
    </row>
    <row r="780" spans="1:12" x14ac:dyDescent="0.2">
      <c r="B780" s="43"/>
      <c r="E780" s="518"/>
      <c r="F780" s="284">
        <v>131</v>
      </c>
      <c r="G780" s="41"/>
      <c r="H780" s="284">
        <v>424</v>
      </c>
      <c r="I780" s="243" t="s">
        <v>10</v>
      </c>
      <c r="J780" s="51">
        <v>11300000</v>
      </c>
      <c r="K780" s="51"/>
      <c r="L780" s="51">
        <f>SUM(J780+K780)</f>
        <v>11300000</v>
      </c>
    </row>
    <row r="781" spans="1:12" x14ac:dyDescent="0.2">
      <c r="B781" s="160"/>
      <c r="C781" s="160"/>
      <c r="D781" s="474"/>
      <c r="E781" s="518"/>
      <c r="F781" s="292"/>
      <c r="G781" s="41"/>
      <c r="H781" s="284"/>
      <c r="I781" s="202" t="s">
        <v>710</v>
      </c>
      <c r="J781" s="231">
        <f>SUM(J778:J780)</f>
        <v>12500000</v>
      </c>
      <c r="K781" s="52"/>
      <c r="L781" s="52">
        <f>SUM(J781+K781)</f>
        <v>12500000</v>
      </c>
    </row>
    <row r="782" spans="1:12" x14ac:dyDescent="0.2">
      <c r="B782" s="160"/>
      <c r="C782" s="160"/>
      <c r="D782" s="474"/>
      <c r="E782" s="518"/>
      <c r="F782" s="292"/>
      <c r="G782" s="291" t="s">
        <v>37</v>
      </c>
      <c r="H782" s="286"/>
      <c r="I782" s="248" t="s">
        <v>38</v>
      </c>
      <c r="J782" s="45">
        <f>SUM(J781)</f>
        <v>12500000</v>
      </c>
      <c r="K782" s="174"/>
      <c r="L782" s="46">
        <f>SUM(J782+K782)</f>
        <v>12500000</v>
      </c>
    </row>
    <row r="783" spans="1:12" x14ac:dyDescent="0.2">
      <c r="B783" s="160"/>
      <c r="C783" s="160"/>
      <c r="D783" s="474"/>
      <c r="E783" s="518"/>
      <c r="F783" s="292"/>
      <c r="G783" s="291"/>
      <c r="H783" s="286"/>
      <c r="I783" s="637"/>
      <c r="J783" s="235"/>
      <c r="K783" s="167"/>
      <c r="L783" s="224"/>
    </row>
    <row r="784" spans="1:12" x14ac:dyDescent="0.2">
      <c r="B784" s="160"/>
      <c r="C784" s="160">
        <v>490</v>
      </c>
      <c r="D784" s="474"/>
      <c r="E784" s="520" t="s">
        <v>253</v>
      </c>
      <c r="F784" s="358"/>
      <c r="G784" s="307"/>
      <c r="H784" s="358"/>
      <c r="I784" s="370" t="s">
        <v>716</v>
      </c>
      <c r="J784" s="299"/>
      <c r="K784" s="299"/>
      <c r="L784" s="49"/>
    </row>
    <row r="785" spans="1:14" x14ac:dyDescent="0.2">
      <c r="B785" s="160"/>
      <c r="C785" s="160"/>
      <c r="D785" s="474"/>
      <c r="E785" s="518"/>
      <c r="F785" s="284">
        <v>132</v>
      </c>
      <c r="G785" s="41"/>
      <c r="H785" s="284">
        <v>511</v>
      </c>
      <c r="I785" s="243" t="s">
        <v>584</v>
      </c>
      <c r="J785" s="51">
        <v>500000</v>
      </c>
      <c r="K785" s="51"/>
      <c r="L785" s="51">
        <f>SUM(J785+K785)</f>
        <v>500000</v>
      </c>
    </row>
    <row r="786" spans="1:14" x14ac:dyDescent="0.2">
      <c r="B786" s="160"/>
      <c r="C786" s="160"/>
      <c r="D786" s="474"/>
      <c r="E786" s="518"/>
      <c r="F786" s="284"/>
      <c r="G786" s="41"/>
      <c r="H786" s="284"/>
      <c r="I786" s="57" t="s">
        <v>710</v>
      </c>
      <c r="J786" s="48">
        <f>SUM(J785)</f>
        <v>500000</v>
      </c>
      <c r="K786" s="52"/>
      <c r="L786" s="52">
        <f>SUM(J786+K786)</f>
        <v>500000</v>
      </c>
    </row>
    <row r="787" spans="1:14" x14ac:dyDescent="0.2">
      <c r="B787" s="160"/>
      <c r="C787" s="160"/>
      <c r="D787" s="474"/>
      <c r="E787" s="518"/>
      <c r="F787" s="284"/>
      <c r="G787" s="47" t="s">
        <v>37</v>
      </c>
      <c r="H787" s="286"/>
      <c r="I787" s="194" t="s">
        <v>38</v>
      </c>
      <c r="J787" s="56">
        <f>SUM(J786)</f>
        <v>500000</v>
      </c>
      <c r="K787" s="52"/>
      <c r="L787" s="51">
        <f>SUM(J787+K787)</f>
        <v>500000</v>
      </c>
    </row>
    <row r="788" spans="1:14" x14ac:dyDescent="0.2">
      <c r="A788" s="476"/>
      <c r="B788" s="43"/>
      <c r="D788" s="43"/>
      <c r="E788" s="518"/>
      <c r="F788" s="284"/>
      <c r="G788" s="70"/>
      <c r="H788" s="284"/>
      <c r="I788" s="161"/>
      <c r="J788" s="167"/>
      <c r="K788" s="167"/>
      <c r="L788" s="300"/>
    </row>
    <row r="789" spans="1:14" x14ac:dyDescent="0.2">
      <c r="A789" s="476"/>
      <c r="B789" s="43"/>
      <c r="C789" s="43">
        <v>474</v>
      </c>
      <c r="E789" s="518"/>
      <c r="F789" s="284"/>
      <c r="G789" s="41"/>
      <c r="H789" s="284"/>
      <c r="I789" s="260" t="s">
        <v>114</v>
      </c>
      <c r="J789" s="67"/>
      <c r="K789" s="67"/>
      <c r="L789" s="192"/>
    </row>
    <row r="790" spans="1:14" x14ac:dyDescent="0.2">
      <c r="A790" s="476"/>
      <c r="B790" s="43"/>
      <c r="E790" s="518"/>
      <c r="F790" s="284"/>
      <c r="G790" s="41"/>
      <c r="H790" s="286"/>
      <c r="I790" s="26"/>
      <c r="J790" s="27"/>
      <c r="K790" s="27"/>
      <c r="L790" s="53"/>
    </row>
    <row r="791" spans="1:14" x14ac:dyDescent="0.2">
      <c r="A791" s="476"/>
      <c r="B791" s="43"/>
      <c r="E791" s="520" t="s">
        <v>253</v>
      </c>
      <c r="F791" s="358"/>
      <c r="G791" s="307"/>
      <c r="H791" s="423"/>
      <c r="I791" s="370" t="s">
        <v>1022</v>
      </c>
      <c r="J791" s="299"/>
      <c r="K791" s="299"/>
      <c r="L791" s="49"/>
    </row>
    <row r="792" spans="1:14" x14ac:dyDescent="0.2">
      <c r="B792" s="43"/>
      <c r="E792" s="518"/>
      <c r="F792" s="284">
        <v>133</v>
      </c>
      <c r="G792" s="41"/>
      <c r="H792" s="284">
        <v>472</v>
      </c>
      <c r="I792" s="243" t="s">
        <v>304</v>
      </c>
      <c r="J792" s="51">
        <v>8000000</v>
      </c>
      <c r="K792" s="51"/>
      <c r="L792" s="51">
        <f>SUM(J792+K792)</f>
        <v>8000000</v>
      </c>
    </row>
    <row r="793" spans="1:14" x14ac:dyDescent="0.2">
      <c r="B793" s="43"/>
      <c r="D793" s="476"/>
      <c r="E793" s="518"/>
      <c r="F793" s="284"/>
      <c r="G793" s="41"/>
      <c r="H793" s="286"/>
      <c r="I793" s="57" t="s">
        <v>710</v>
      </c>
      <c r="J793" s="48">
        <f>SUM(J792)</f>
        <v>8000000</v>
      </c>
      <c r="K793" s="52"/>
      <c r="L793" s="52">
        <f>SUM(J793+K793)</f>
        <v>8000000</v>
      </c>
    </row>
    <row r="794" spans="1:14" x14ac:dyDescent="0.2">
      <c r="B794" s="43"/>
      <c r="D794" s="476"/>
      <c r="E794" s="518"/>
      <c r="F794" s="284"/>
      <c r="G794" s="47" t="s">
        <v>37</v>
      </c>
      <c r="H794" s="284"/>
      <c r="I794" s="194" t="s">
        <v>38</v>
      </c>
      <c r="J794" s="56">
        <f>SUM(J793-J795)</f>
        <v>8000000</v>
      </c>
      <c r="K794" s="52"/>
      <c r="L794" s="51">
        <f>SUM(J794+K794)</f>
        <v>8000000</v>
      </c>
    </row>
    <row r="795" spans="1:14" x14ac:dyDescent="0.2">
      <c r="A795" s="476"/>
      <c r="B795" s="43"/>
      <c r="E795" s="518"/>
      <c r="F795" s="284"/>
      <c r="G795" s="47"/>
      <c r="H795" s="286"/>
      <c r="I795" s="191"/>
      <c r="J795" s="162"/>
      <c r="K795" s="27"/>
      <c r="L795" s="28"/>
    </row>
    <row r="796" spans="1:14" ht="22.5" x14ac:dyDescent="0.2">
      <c r="A796" s="476"/>
      <c r="B796" s="43"/>
      <c r="E796" s="520" t="s">
        <v>253</v>
      </c>
      <c r="F796" s="358"/>
      <c r="G796" s="307"/>
      <c r="H796" s="405"/>
      <c r="I796" s="309" t="s">
        <v>877</v>
      </c>
      <c r="J796" s="299"/>
      <c r="K796" s="299"/>
      <c r="L796" s="49"/>
    </row>
    <row r="797" spans="1:14" x14ac:dyDescent="0.2">
      <c r="B797" s="43"/>
      <c r="E797" s="518"/>
      <c r="F797" s="284">
        <v>134</v>
      </c>
      <c r="G797" s="41"/>
      <c r="H797" s="284">
        <v>472</v>
      </c>
      <c r="I797" s="243" t="s">
        <v>304</v>
      </c>
      <c r="J797" s="51">
        <v>3000000</v>
      </c>
      <c r="K797" s="51"/>
      <c r="L797" s="51">
        <f>SUM(J797+K797)</f>
        <v>3000000</v>
      </c>
      <c r="N797" s="845"/>
    </row>
    <row r="798" spans="1:14" x14ac:dyDescent="0.2">
      <c r="B798" s="43"/>
      <c r="D798" s="476"/>
      <c r="E798" s="518"/>
      <c r="F798" s="284"/>
      <c r="G798" s="41"/>
      <c r="H798" s="284"/>
      <c r="I798" s="57" t="s">
        <v>710</v>
      </c>
      <c r="J798" s="48">
        <f>SUM(J797)</f>
        <v>3000000</v>
      </c>
      <c r="K798" s="52"/>
      <c r="L798" s="52">
        <f>SUM(J798+K798)</f>
        <v>3000000</v>
      </c>
    </row>
    <row r="799" spans="1:14" x14ac:dyDescent="0.2">
      <c r="B799" s="160"/>
      <c r="C799" s="160"/>
      <c r="D799" s="474"/>
      <c r="E799" s="518"/>
      <c r="F799" s="292"/>
      <c r="G799" s="47" t="s">
        <v>37</v>
      </c>
      <c r="H799" s="286"/>
      <c r="I799" s="194" t="s">
        <v>38</v>
      </c>
      <c r="J799" s="56">
        <f>SUM(J798-J800)</f>
        <v>1500000</v>
      </c>
      <c r="K799" s="52"/>
      <c r="L799" s="51">
        <f>SUM(J799+K799)</f>
        <v>1500000</v>
      </c>
    </row>
    <row r="800" spans="1:14" x14ac:dyDescent="0.2">
      <c r="A800" s="476"/>
      <c r="B800" s="43"/>
      <c r="E800" s="518"/>
      <c r="F800" s="284"/>
      <c r="G800" s="47" t="s">
        <v>113</v>
      </c>
      <c r="H800" s="284"/>
      <c r="I800" s="194" t="s">
        <v>280</v>
      </c>
      <c r="J800" s="67">
        <v>1500000</v>
      </c>
      <c r="K800" s="331"/>
      <c r="L800" s="51">
        <f>SUM(J800+K800)</f>
        <v>1500000</v>
      </c>
    </row>
    <row r="801" spans="1:16" x14ac:dyDescent="0.2">
      <c r="A801" s="476"/>
      <c r="B801" s="43"/>
      <c r="E801" s="518"/>
      <c r="F801" s="284"/>
      <c r="G801" s="41"/>
      <c r="H801" s="286"/>
      <c r="I801" s="228"/>
      <c r="J801" s="71"/>
      <c r="K801" s="109"/>
      <c r="L801" s="205"/>
    </row>
    <row r="802" spans="1:16" x14ac:dyDescent="0.2">
      <c r="A802" s="476"/>
      <c r="B802" s="43"/>
      <c r="E802" s="520" t="s">
        <v>253</v>
      </c>
      <c r="F802" s="358"/>
      <c r="G802" s="307"/>
      <c r="H802" s="358"/>
      <c r="I802" s="371" t="s">
        <v>875</v>
      </c>
      <c r="J802" s="71"/>
      <c r="K802" s="71"/>
      <c r="L802" s="233"/>
    </row>
    <row r="803" spans="1:16" x14ac:dyDescent="0.2">
      <c r="A803" s="476"/>
      <c r="B803" s="43"/>
      <c r="E803" s="518"/>
      <c r="F803" s="284">
        <v>135</v>
      </c>
      <c r="G803" s="41"/>
      <c r="H803" s="284">
        <v>424</v>
      </c>
      <c r="I803" s="243" t="s">
        <v>116</v>
      </c>
      <c r="J803" s="51">
        <v>21900000</v>
      </c>
      <c r="K803" s="51"/>
      <c r="L803" s="51">
        <f>SUM(J803+K803)</f>
        <v>21900000</v>
      </c>
    </row>
    <row r="804" spans="1:16" x14ac:dyDescent="0.2">
      <c r="A804" s="476"/>
      <c r="B804" s="43"/>
      <c r="E804" s="518"/>
      <c r="F804" s="284">
        <v>136</v>
      </c>
      <c r="G804" s="41"/>
      <c r="H804" s="284">
        <v>511</v>
      </c>
      <c r="I804" s="194" t="s">
        <v>20</v>
      </c>
      <c r="J804" s="51">
        <v>6294000</v>
      </c>
      <c r="K804" s="51"/>
      <c r="L804" s="51">
        <f t="shared" ref="L804:L805" si="47">SUM(J804+K804)</f>
        <v>6294000</v>
      </c>
    </row>
    <row r="805" spans="1:16" x14ac:dyDescent="0.2">
      <c r="A805" s="476"/>
      <c r="B805" s="43"/>
      <c r="E805" s="518"/>
      <c r="F805" s="284">
        <v>137</v>
      </c>
      <c r="G805" s="41"/>
      <c r="H805" s="284">
        <v>512</v>
      </c>
      <c r="I805" s="243" t="s">
        <v>21</v>
      </c>
      <c r="J805" s="51">
        <v>1707000</v>
      </c>
      <c r="K805" s="51"/>
      <c r="L805" s="51">
        <f t="shared" si="47"/>
        <v>1707000</v>
      </c>
    </row>
    <row r="806" spans="1:16" x14ac:dyDescent="0.2">
      <c r="B806" s="43"/>
      <c r="D806" s="476"/>
      <c r="E806" s="518"/>
      <c r="F806" s="284"/>
      <c r="G806" s="41"/>
      <c r="H806" s="285"/>
      <c r="I806" s="267" t="s">
        <v>876</v>
      </c>
      <c r="J806" s="52">
        <f>SUM(J803:J805)</f>
        <v>29901000</v>
      </c>
      <c r="K806" s="52"/>
      <c r="L806" s="52">
        <f>SUM(J806:K806)</f>
        <v>29901000</v>
      </c>
    </row>
    <row r="807" spans="1:16" x14ac:dyDescent="0.2">
      <c r="B807" s="43"/>
      <c r="D807" s="476"/>
      <c r="E807" s="518"/>
      <c r="F807" s="284"/>
      <c r="G807" s="47" t="s">
        <v>37</v>
      </c>
      <c r="H807" s="284"/>
      <c r="I807" s="194" t="s">
        <v>38</v>
      </c>
      <c r="J807" s="56">
        <f>SUM(J806-J809)</f>
        <v>10344947.969999999</v>
      </c>
      <c r="K807" s="52"/>
      <c r="L807" s="51">
        <f>SUM(J807+K807)</f>
        <v>10344947.969999999</v>
      </c>
    </row>
    <row r="808" spans="1:16" x14ac:dyDescent="0.2">
      <c r="A808" s="476"/>
      <c r="B808" s="43"/>
      <c r="D808" s="476"/>
      <c r="E808" s="518"/>
      <c r="F808" s="284"/>
      <c r="G808" s="47" t="s">
        <v>113</v>
      </c>
      <c r="H808" s="284"/>
      <c r="I808" s="194" t="s">
        <v>280</v>
      </c>
      <c r="J808" s="56">
        <v>0</v>
      </c>
      <c r="K808" s="52"/>
      <c r="L808" s="51">
        <f>SUM(J808+K808)</f>
        <v>0</v>
      </c>
    </row>
    <row r="809" spans="1:16" x14ac:dyDescent="0.2">
      <c r="A809" s="476"/>
      <c r="B809" s="43"/>
      <c r="D809" s="476"/>
      <c r="E809" s="518"/>
      <c r="F809" s="284"/>
      <c r="G809" s="47" t="s">
        <v>1081</v>
      </c>
      <c r="H809" s="284"/>
      <c r="I809" s="40" t="s">
        <v>1082</v>
      </c>
      <c r="J809" s="56">
        <v>19556052.030000001</v>
      </c>
      <c r="K809" s="52"/>
      <c r="L809" s="51">
        <f>SUM(J809+K809)</f>
        <v>19556052.030000001</v>
      </c>
    </row>
    <row r="810" spans="1:16" x14ac:dyDescent="0.2">
      <c r="D810" s="477"/>
      <c r="E810" s="518"/>
      <c r="F810" s="284"/>
      <c r="G810" s="41"/>
      <c r="H810" s="286"/>
      <c r="I810" s="24"/>
      <c r="J810" s="167"/>
      <c r="K810" s="167"/>
      <c r="L810" s="300"/>
    </row>
    <row r="811" spans="1:16" x14ac:dyDescent="0.2">
      <c r="B811" s="43"/>
      <c r="C811" s="43">
        <v>620</v>
      </c>
      <c r="E811" s="518"/>
      <c r="F811" s="284"/>
      <c r="G811" s="41"/>
      <c r="H811" s="286"/>
      <c r="I811" s="211" t="s">
        <v>105</v>
      </c>
      <c r="J811" s="67"/>
      <c r="K811" s="67"/>
      <c r="L811" s="192"/>
    </row>
    <row r="812" spans="1:16" x14ac:dyDescent="0.2">
      <c r="B812" s="401"/>
      <c r="C812" s="654"/>
      <c r="D812" s="334"/>
      <c r="E812" s="518"/>
      <c r="F812" s="284"/>
      <c r="G812" s="41"/>
      <c r="H812" s="284"/>
      <c r="I812" s="197"/>
      <c r="J812" s="27"/>
      <c r="K812" s="28"/>
      <c r="L812" s="68"/>
    </row>
    <row r="813" spans="1:16" x14ac:dyDescent="0.2">
      <c r="B813" s="401"/>
      <c r="C813" s="654"/>
      <c r="D813" s="334"/>
      <c r="E813" s="520" t="s">
        <v>253</v>
      </c>
      <c r="F813" s="358"/>
      <c r="G813" s="307"/>
      <c r="H813" s="423"/>
      <c r="I813" s="368" t="s">
        <v>948</v>
      </c>
      <c r="J813" s="299"/>
      <c r="K813" s="299"/>
      <c r="L813" s="49"/>
    </row>
    <row r="814" spans="1:16" s="165" customFormat="1" x14ac:dyDescent="0.2">
      <c r="A814" s="648"/>
      <c r="B814" s="583"/>
      <c r="C814" s="803"/>
      <c r="D814" s="648"/>
      <c r="E814" s="563"/>
      <c r="F814" s="792" t="s">
        <v>991</v>
      </c>
      <c r="G814" s="793"/>
      <c r="H814" s="792">
        <v>424</v>
      </c>
      <c r="I814" s="804" t="s">
        <v>10</v>
      </c>
      <c r="J814" s="799">
        <v>1000</v>
      </c>
      <c r="K814" s="799"/>
      <c r="L814" s="799">
        <f>SUM(J814:K814)</f>
        <v>1000</v>
      </c>
      <c r="M814" s="1014"/>
      <c r="N814" s="834"/>
      <c r="O814" s="163"/>
      <c r="P814" s="832"/>
    </row>
    <row r="815" spans="1:16" x14ac:dyDescent="0.2">
      <c r="A815" s="477"/>
      <c r="B815" s="43"/>
      <c r="D815" s="477"/>
      <c r="E815" s="518"/>
      <c r="F815" s="284">
        <v>138</v>
      </c>
      <c r="G815" s="41"/>
      <c r="H815" s="284">
        <v>511</v>
      </c>
      <c r="I815" s="194" t="s">
        <v>648</v>
      </c>
      <c r="J815" s="51">
        <v>1000</v>
      </c>
      <c r="K815" s="52"/>
      <c r="L815" s="51">
        <f>SUM(J815:K815)</f>
        <v>1000</v>
      </c>
      <c r="N815" s="845"/>
    </row>
    <row r="816" spans="1:16" x14ac:dyDescent="0.2">
      <c r="B816" s="43"/>
      <c r="E816" s="518"/>
      <c r="F816" s="284">
        <v>139</v>
      </c>
      <c r="G816" s="41"/>
      <c r="H816" s="284">
        <v>511</v>
      </c>
      <c r="I816" s="194" t="s">
        <v>649</v>
      </c>
      <c r="J816" s="56">
        <v>1000</v>
      </c>
      <c r="K816" s="51"/>
      <c r="L816" s="51">
        <f>SUM(J816+K816)</f>
        <v>1000</v>
      </c>
    </row>
    <row r="817" spans="1:16" x14ac:dyDescent="0.2">
      <c r="B817" s="43"/>
      <c r="D817" s="476"/>
      <c r="E817" s="518"/>
      <c r="F817" s="284"/>
      <c r="G817" s="41"/>
      <c r="H817" s="284"/>
      <c r="I817" s="208" t="s">
        <v>710</v>
      </c>
      <c r="J817" s="52">
        <f>SUM(J814:J816)</f>
        <v>3000</v>
      </c>
      <c r="K817" s="51"/>
      <c r="L817" s="48">
        <f>SUM(L814:L816)</f>
        <v>3000</v>
      </c>
    </row>
    <row r="818" spans="1:16" x14ac:dyDescent="0.2">
      <c r="B818" s="43"/>
      <c r="E818" s="518"/>
      <c r="F818" s="284"/>
      <c r="G818" s="47" t="s">
        <v>37</v>
      </c>
      <c r="H818" s="286"/>
      <c r="I818" s="194" t="s">
        <v>38</v>
      </c>
      <c r="J818" s="56">
        <f>SUM(J817)</f>
        <v>3000</v>
      </c>
      <c r="K818" s="52"/>
      <c r="L818" s="51">
        <f>SUM(J818+K818)</f>
        <v>3000</v>
      </c>
    </row>
    <row r="819" spans="1:16" x14ac:dyDescent="0.2">
      <c r="B819" s="401"/>
      <c r="C819" s="654"/>
      <c r="D819" s="334"/>
      <c r="E819" s="518"/>
      <c r="F819" s="284"/>
      <c r="G819" s="41"/>
      <c r="H819" s="284"/>
      <c r="I819" s="197"/>
      <c r="J819" s="27"/>
      <c r="K819" s="28"/>
      <c r="L819" s="205"/>
    </row>
    <row r="820" spans="1:16" ht="22.5" x14ac:dyDescent="0.2">
      <c r="B820" s="401"/>
      <c r="C820" s="654"/>
      <c r="D820" s="334"/>
      <c r="E820" s="520" t="s">
        <v>253</v>
      </c>
      <c r="F820" s="358"/>
      <c r="G820" s="307"/>
      <c r="H820" s="358"/>
      <c r="I820" s="368" t="s">
        <v>949</v>
      </c>
      <c r="J820" s="299"/>
      <c r="K820" s="299"/>
      <c r="L820" s="49"/>
      <c r="M820" s="1002"/>
    </row>
    <row r="821" spans="1:16" s="165" customFormat="1" x14ac:dyDescent="0.2">
      <c r="A821" s="648"/>
      <c r="B821" s="583"/>
      <c r="C821" s="803"/>
      <c r="D821" s="648"/>
      <c r="E821" s="563"/>
      <c r="F821" s="792" t="s">
        <v>990</v>
      </c>
      <c r="G821" s="793"/>
      <c r="H821" s="792">
        <v>424</v>
      </c>
      <c r="I821" s="804" t="s">
        <v>10</v>
      </c>
      <c r="J821" s="799">
        <v>200000</v>
      </c>
      <c r="K821" s="799"/>
      <c r="L821" s="799">
        <f>SUM(J821:K821)</f>
        <v>200000</v>
      </c>
      <c r="M821" s="1015"/>
      <c r="N821" s="834"/>
      <c r="O821" s="163"/>
      <c r="P821" s="832"/>
    </row>
    <row r="822" spans="1:16" x14ac:dyDescent="0.2">
      <c r="B822" s="43"/>
      <c r="D822" s="476"/>
      <c r="E822" s="518"/>
      <c r="F822" s="284">
        <v>140</v>
      </c>
      <c r="G822" s="41"/>
      <c r="H822" s="285" t="s">
        <v>80</v>
      </c>
      <c r="I822" s="838" t="s">
        <v>9</v>
      </c>
      <c r="J822" s="963">
        <f>5892828+200000</f>
        <v>6092828</v>
      </c>
      <c r="K822" s="969"/>
      <c r="L822" s="963">
        <f>SUM(J822:K822)</f>
        <v>6092828</v>
      </c>
      <c r="M822" s="1002"/>
    </row>
    <row r="823" spans="1:16" s="159" customFormat="1" x14ac:dyDescent="0.2">
      <c r="A823" s="44"/>
      <c r="B823" s="43"/>
      <c r="C823" s="43"/>
      <c r="D823" s="476"/>
      <c r="E823" s="518"/>
      <c r="F823" s="284"/>
      <c r="G823" s="47" t="s">
        <v>37</v>
      </c>
      <c r="H823" s="285"/>
      <c r="I823" s="838" t="s">
        <v>38</v>
      </c>
      <c r="J823" s="840">
        <f>SUM(J821:J822)</f>
        <v>6292828</v>
      </c>
      <c r="K823" s="839"/>
      <c r="L823" s="188">
        <f>SUM(J823+K823)</f>
        <v>6292828</v>
      </c>
      <c r="M823" s="1016"/>
      <c r="N823" s="831"/>
      <c r="O823" s="133"/>
      <c r="P823" s="121"/>
    </row>
    <row r="824" spans="1:16" s="159" customFormat="1" x14ac:dyDescent="0.2">
      <c r="A824" s="476"/>
      <c r="B824" s="43"/>
      <c r="C824" s="43"/>
      <c r="D824" s="476"/>
      <c r="E824" s="518"/>
      <c r="F824" s="284"/>
      <c r="G824" s="41"/>
      <c r="H824" s="286"/>
      <c r="I824" s="202" t="s">
        <v>710</v>
      </c>
      <c r="J824" s="52">
        <f>SUM(J823:J823)</f>
        <v>6292828</v>
      </c>
      <c r="K824" s="52"/>
      <c r="L824" s="52">
        <f>SUM(L823:L823)</f>
        <v>6292828</v>
      </c>
      <c r="M824" s="1011"/>
      <c r="N824" s="831"/>
      <c r="O824" s="133"/>
      <c r="P824" s="121"/>
    </row>
    <row r="825" spans="1:16" s="159" customFormat="1" x14ac:dyDescent="0.2">
      <c r="A825" s="476"/>
      <c r="B825" s="43"/>
      <c r="C825" s="43"/>
      <c r="D825" s="476"/>
      <c r="E825" s="518"/>
      <c r="F825" s="284"/>
      <c r="G825" s="41"/>
      <c r="H825" s="285"/>
      <c r="I825" s="102"/>
      <c r="J825" s="299"/>
      <c r="K825" s="299"/>
      <c r="L825" s="49"/>
      <c r="M825" s="1011"/>
      <c r="N825" s="831"/>
      <c r="O825" s="133"/>
      <c r="P825" s="121"/>
    </row>
    <row r="826" spans="1:16" s="159" customFormat="1" ht="33.75" x14ac:dyDescent="0.2">
      <c r="A826" s="476"/>
      <c r="B826" s="43"/>
      <c r="C826" s="43"/>
      <c r="D826" s="476"/>
      <c r="E826" s="520" t="s">
        <v>253</v>
      </c>
      <c r="F826" s="358"/>
      <c r="G826" s="307"/>
      <c r="H826" s="358"/>
      <c r="I826" s="368" t="s">
        <v>1019</v>
      </c>
      <c r="J826" s="299"/>
      <c r="K826" s="299"/>
      <c r="L826" s="49"/>
      <c r="M826" s="1011"/>
      <c r="N826" s="831"/>
      <c r="O826" s="133"/>
      <c r="P826" s="121"/>
    </row>
    <row r="827" spans="1:16" s="159" customFormat="1" x14ac:dyDescent="0.2">
      <c r="A827" s="476"/>
      <c r="B827" s="43"/>
      <c r="C827" s="43"/>
      <c r="D827" s="476"/>
      <c r="E827" s="563"/>
      <c r="F827" s="792" t="s">
        <v>1017</v>
      </c>
      <c r="G827" s="793"/>
      <c r="H827" s="792">
        <v>424</v>
      </c>
      <c r="I827" s="804" t="s">
        <v>10</v>
      </c>
      <c r="J827" s="799">
        <v>150000</v>
      </c>
      <c r="K827" s="799"/>
      <c r="L827" s="799">
        <f>SUM(J827:K827)</f>
        <v>150000</v>
      </c>
      <c r="M827" s="1011"/>
      <c r="N827" s="831"/>
      <c r="O827" s="133"/>
      <c r="P827" s="121"/>
    </row>
    <row r="828" spans="1:16" s="159" customFormat="1" x14ac:dyDescent="0.2">
      <c r="A828" s="476"/>
      <c r="B828" s="43"/>
      <c r="C828" s="43"/>
      <c r="D828" s="476"/>
      <c r="E828" s="518"/>
      <c r="F828" s="284" t="s">
        <v>1018</v>
      </c>
      <c r="G828" s="41"/>
      <c r="H828" s="285" t="s">
        <v>80</v>
      </c>
      <c r="I828" s="838" t="s">
        <v>9</v>
      </c>
      <c r="J828" s="188">
        <v>6000000</v>
      </c>
      <c r="K828" s="839"/>
      <c r="L828" s="188">
        <f>SUM(J828:K828)</f>
        <v>6000000</v>
      </c>
      <c r="M828" s="1011"/>
      <c r="N828" s="862"/>
      <c r="O828" s="133"/>
      <c r="P828" s="121"/>
    </row>
    <row r="829" spans="1:16" s="159" customFormat="1" x14ac:dyDescent="0.2">
      <c r="A829" s="476"/>
      <c r="B829" s="43"/>
      <c r="C829" s="43"/>
      <c r="D829" s="476"/>
      <c r="E829" s="518"/>
      <c r="F829" s="284"/>
      <c r="G829" s="47" t="s">
        <v>37</v>
      </c>
      <c r="H829" s="285"/>
      <c r="I829" s="838" t="s">
        <v>38</v>
      </c>
      <c r="J829" s="840">
        <f>SUM(J827:J828)</f>
        <v>6150000</v>
      </c>
      <c r="K829" s="839"/>
      <c r="L829" s="188">
        <f>SUM(J829+K829)</f>
        <v>6150000</v>
      </c>
      <c r="M829" s="1011"/>
      <c r="N829" s="862"/>
      <c r="O829" s="133"/>
      <c r="P829" s="121"/>
    </row>
    <row r="830" spans="1:16" s="159" customFormat="1" x14ac:dyDescent="0.2">
      <c r="A830" s="476"/>
      <c r="B830" s="43"/>
      <c r="C830" s="43"/>
      <c r="D830" s="476"/>
      <c r="E830" s="518"/>
      <c r="F830" s="284"/>
      <c r="G830" s="41"/>
      <c r="H830" s="286"/>
      <c r="I830" s="202" t="s">
        <v>710</v>
      </c>
      <c r="J830" s="52">
        <f>SUM(J829:J829)</f>
        <v>6150000</v>
      </c>
      <c r="K830" s="52"/>
      <c r="L830" s="52">
        <f>SUM(L829:L829)</f>
        <v>6150000</v>
      </c>
      <c r="M830" s="1011"/>
      <c r="N830" s="862"/>
      <c r="O830" s="133"/>
      <c r="P830" s="121"/>
    </row>
    <row r="831" spans="1:16" s="159" customFormat="1" x14ac:dyDescent="0.2">
      <c r="A831" s="476"/>
      <c r="B831" s="43"/>
      <c r="C831" s="43"/>
      <c r="D831" s="476"/>
      <c r="E831" s="518"/>
      <c r="F831" s="284"/>
      <c r="G831" s="41"/>
      <c r="H831" s="285"/>
      <c r="I831" s="102"/>
      <c r="J831" s="299"/>
      <c r="K831" s="299"/>
      <c r="L831" s="49"/>
      <c r="M831" s="1011"/>
      <c r="N831" s="862"/>
      <c r="O831" s="133"/>
      <c r="P831" s="121"/>
    </row>
    <row r="832" spans="1:16" s="159" customFormat="1" ht="22.5" x14ac:dyDescent="0.2">
      <c r="A832" s="476"/>
      <c r="B832" s="43"/>
      <c r="C832" s="43"/>
      <c r="D832" s="476"/>
      <c r="E832" s="520" t="s">
        <v>253</v>
      </c>
      <c r="F832" s="358"/>
      <c r="G832" s="307"/>
      <c r="H832" s="358"/>
      <c r="I832" s="368" t="s">
        <v>1020</v>
      </c>
      <c r="J832" s="299"/>
      <c r="K832" s="299"/>
      <c r="L832" s="49"/>
      <c r="M832" s="1011"/>
      <c r="N832" s="862"/>
      <c r="O832" s="133"/>
      <c r="P832" s="121"/>
    </row>
    <row r="833" spans="1:16" s="159" customFormat="1" x14ac:dyDescent="0.2">
      <c r="A833" s="476"/>
      <c r="B833" s="43"/>
      <c r="C833" s="43"/>
      <c r="D833" s="476"/>
      <c r="E833" s="518"/>
      <c r="F833" s="284" t="s">
        <v>1021</v>
      </c>
      <c r="G833" s="41"/>
      <c r="H833" s="285" t="s">
        <v>80</v>
      </c>
      <c r="I833" s="838" t="s">
        <v>9</v>
      </c>
      <c r="J833" s="188">
        <v>4000000</v>
      </c>
      <c r="K833" s="839"/>
      <c r="L833" s="188">
        <f>SUM(J833:K833)</f>
        <v>4000000</v>
      </c>
      <c r="M833" s="1011"/>
      <c r="N833" s="862"/>
      <c r="O833" s="133"/>
      <c r="P833" s="121"/>
    </row>
    <row r="834" spans="1:16" s="159" customFormat="1" x14ac:dyDescent="0.2">
      <c r="A834" s="476"/>
      <c r="B834" s="43"/>
      <c r="C834" s="43"/>
      <c r="D834" s="476"/>
      <c r="E834" s="518"/>
      <c r="F834" s="284"/>
      <c r="G834" s="47" t="s">
        <v>37</v>
      </c>
      <c r="H834" s="285"/>
      <c r="I834" s="838" t="s">
        <v>38</v>
      </c>
      <c r="J834" s="840">
        <f>SUM(J833:J833)</f>
        <v>4000000</v>
      </c>
      <c r="K834" s="839"/>
      <c r="L834" s="188">
        <f>SUM(J834+K834)</f>
        <v>4000000</v>
      </c>
      <c r="M834" s="1011"/>
      <c r="N834" s="831"/>
      <c r="O834" s="133"/>
      <c r="P834" s="121"/>
    </row>
    <row r="835" spans="1:16" s="159" customFormat="1" x14ac:dyDescent="0.2">
      <c r="A835" s="476"/>
      <c r="B835" s="43"/>
      <c r="C835" s="43"/>
      <c r="D835" s="476"/>
      <c r="E835" s="518"/>
      <c r="F835" s="284"/>
      <c r="G835" s="41"/>
      <c r="H835" s="286"/>
      <c r="I835" s="202" t="s">
        <v>710</v>
      </c>
      <c r="J835" s="52">
        <f>SUM(J834:J834)</f>
        <v>4000000</v>
      </c>
      <c r="K835" s="52"/>
      <c r="L835" s="52">
        <f>SUM(L834:L834)</f>
        <v>4000000</v>
      </c>
      <c r="M835" s="1011"/>
      <c r="N835" s="831"/>
      <c r="O835" s="133"/>
      <c r="P835" s="121"/>
    </row>
    <row r="836" spans="1:16" s="159" customFormat="1" x14ac:dyDescent="0.2">
      <c r="A836" s="476"/>
      <c r="B836" s="43"/>
      <c r="C836" s="43"/>
      <c r="D836" s="476"/>
      <c r="E836" s="518"/>
      <c r="F836" s="284"/>
      <c r="G836" s="41"/>
      <c r="H836" s="285"/>
      <c r="I836" s="102"/>
      <c r="J836" s="299"/>
      <c r="K836" s="299"/>
      <c r="L836" s="49"/>
      <c r="M836" s="1011"/>
      <c r="N836" s="831"/>
      <c r="O836" s="133"/>
      <c r="P836" s="121"/>
    </row>
    <row r="837" spans="1:16" s="159" customFormat="1" ht="22.5" x14ac:dyDescent="0.2">
      <c r="A837" s="44"/>
      <c r="B837" s="43"/>
      <c r="C837" s="43"/>
      <c r="D837" s="476"/>
      <c r="E837" s="520" t="s">
        <v>253</v>
      </c>
      <c r="F837" s="358"/>
      <c r="G837" s="307"/>
      <c r="H837" s="360"/>
      <c r="I837" s="368" t="s">
        <v>874</v>
      </c>
      <c r="J837" s="234"/>
      <c r="K837" s="299"/>
      <c r="L837" s="49"/>
      <c r="M837" s="1012"/>
      <c r="N837" s="831"/>
      <c r="O837" s="133"/>
      <c r="P837" s="121"/>
    </row>
    <row r="838" spans="1:16" s="159" customFormat="1" x14ac:dyDescent="0.2">
      <c r="A838" s="44"/>
      <c r="B838" s="43"/>
      <c r="C838" s="43"/>
      <c r="D838" s="476"/>
      <c r="E838" s="518"/>
      <c r="F838" s="284">
        <v>141</v>
      </c>
      <c r="G838" s="41"/>
      <c r="H838" s="285" t="s">
        <v>46</v>
      </c>
      <c r="I838" s="194" t="s">
        <v>10</v>
      </c>
      <c r="J838" s="56">
        <v>2500000</v>
      </c>
      <c r="K838" s="51"/>
      <c r="L838" s="51">
        <f>SUM(J838:K838)</f>
        <v>2500000</v>
      </c>
      <c r="M838" s="1012"/>
      <c r="N838" s="831"/>
      <c r="O838" s="133"/>
      <c r="P838" s="121"/>
    </row>
    <row r="839" spans="1:16" s="159" customFormat="1" ht="15" x14ac:dyDescent="0.25">
      <c r="A839" s="44"/>
      <c r="B839" s="43"/>
      <c r="C839" s="43"/>
      <c r="D839" s="476"/>
      <c r="E839" s="518"/>
      <c r="F839" s="284"/>
      <c r="G839" s="47" t="s">
        <v>37</v>
      </c>
      <c r="H839" s="290"/>
      <c r="I839" s="194" t="s">
        <v>38</v>
      </c>
      <c r="J839" s="56">
        <f>SUM(J838)</f>
        <v>2500000</v>
      </c>
      <c r="K839" s="51"/>
      <c r="L839" s="51">
        <f>SUM(J838:K838)</f>
        <v>2500000</v>
      </c>
      <c r="M839" s="1012"/>
      <c r="N839" s="831"/>
      <c r="O839" s="133"/>
      <c r="P839" s="121"/>
    </row>
    <row r="840" spans="1:16" s="159" customFormat="1" x14ac:dyDescent="0.2">
      <c r="A840" s="44"/>
      <c r="B840" s="43"/>
      <c r="C840" s="43"/>
      <c r="D840" s="476"/>
      <c r="E840" s="518"/>
      <c r="F840" s="284"/>
      <c r="G840" s="41"/>
      <c r="H840" s="584"/>
      <c r="I840" s="202" t="s">
        <v>710</v>
      </c>
      <c r="J840" s="48">
        <f>SUM(J839)</f>
        <v>2500000</v>
      </c>
      <c r="K840" s="52"/>
      <c r="L840" s="52">
        <f>SUM(L839)</f>
        <v>2500000</v>
      </c>
      <c r="M840" s="1012"/>
      <c r="N840" s="831"/>
      <c r="O840" s="133"/>
      <c r="P840" s="121"/>
    </row>
    <row r="841" spans="1:16" s="159" customFormat="1" x14ac:dyDescent="0.2">
      <c r="A841" s="648"/>
      <c r="B841" s="648"/>
      <c r="C841" s="583"/>
      <c r="D841" s="583"/>
      <c r="E841" s="563"/>
      <c r="F841" s="407"/>
      <c r="G841" s="41"/>
      <c r="H841" s="285"/>
      <c r="I841" s="841"/>
      <c r="J841" s="71"/>
      <c r="K841" s="71"/>
      <c r="L841" s="233"/>
      <c r="M841" s="1012"/>
      <c r="N841" s="831"/>
      <c r="O841" s="133"/>
      <c r="P841" s="121"/>
    </row>
    <row r="842" spans="1:16" s="159" customFormat="1" x14ac:dyDescent="0.2">
      <c r="A842" s="655"/>
      <c r="B842" s="655"/>
      <c r="C842" s="627"/>
      <c r="D842" s="627">
        <v>1502</v>
      </c>
      <c r="E842" s="554"/>
      <c r="F842" s="638"/>
      <c r="G842" s="628"/>
      <c r="H842" s="629"/>
      <c r="I842" s="630" t="s">
        <v>225</v>
      </c>
      <c r="J842" s="599">
        <f>SUM(J869+J885+J892)</f>
        <v>21118300</v>
      </c>
      <c r="K842" s="599">
        <f>SUM(K869+K885+K892)</f>
        <v>282000</v>
      </c>
      <c r="L842" s="599">
        <f t="shared" ref="L842" si="48">SUM(L869+L885+L892)</f>
        <v>21400300</v>
      </c>
      <c r="M842" s="1012"/>
      <c r="N842" s="831"/>
      <c r="O842" s="133"/>
      <c r="P842" s="121"/>
    </row>
    <row r="843" spans="1:16" s="159" customFormat="1" x14ac:dyDescent="0.2">
      <c r="A843" s="44"/>
      <c r="B843" s="44"/>
      <c r="C843" s="43"/>
      <c r="D843" s="43"/>
      <c r="E843" s="518"/>
      <c r="F843" s="284"/>
      <c r="G843" s="294"/>
      <c r="H843" s="285"/>
      <c r="I843" s="239"/>
      <c r="J843" s="167"/>
      <c r="K843" s="167"/>
      <c r="L843" s="300"/>
      <c r="M843" s="1012"/>
      <c r="N843" s="831"/>
      <c r="O843" s="133"/>
      <c r="P843" s="121"/>
    </row>
    <row r="844" spans="1:16" s="159" customFormat="1" x14ac:dyDescent="0.2">
      <c r="A844" s="476"/>
      <c r="B844" s="633"/>
      <c r="C844" s="43">
        <v>473</v>
      </c>
      <c r="D844" s="43"/>
      <c r="E844" s="518"/>
      <c r="F844" s="284"/>
      <c r="G844" s="41"/>
      <c r="H844" s="285"/>
      <c r="I844" s="211" t="s">
        <v>57</v>
      </c>
      <c r="J844" s="329"/>
      <c r="K844" s="329"/>
      <c r="L844" s="330"/>
      <c r="M844" s="1012"/>
      <c r="N844" s="831"/>
      <c r="O844" s="133"/>
      <c r="P844" s="121"/>
    </row>
    <row r="845" spans="1:16" s="159" customFormat="1" x14ac:dyDescent="0.2">
      <c r="A845" s="43"/>
      <c r="B845" s="43"/>
      <c r="C845" s="43"/>
      <c r="D845" s="43"/>
      <c r="E845" s="518"/>
      <c r="F845" s="284"/>
      <c r="G845" s="41"/>
      <c r="H845" s="285"/>
      <c r="I845" s="24"/>
      <c r="J845" s="223"/>
      <c r="K845" s="223"/>
      <c r="L845" s="224"/>
      <c r="M845" s="1012"/>
      <c r="N845" s="831"/>
      <c r="O845" s="133"/>
      <c r="P845" s="121"/>
    </row>
    <row r="846" spans="1:16" s="159" customFormat="1" x14ac:dyDescent="0.2">
      <c r="A846" s="43"/>
      <c r="B846" s="43">
        <v>2</v>
      </c>
      <c r="C846" s="43"/>
      <c r="D846" s="43"/>
      <c r="E846" s="518"/>
      <c r="F846" s="284"/>
      <c r="G846" s="41"/>
      <c r="H846" s="584"/>
      <c r="I846" s="211" t="s">
        <v>58</v>
      </c>
      <c r="J846" s="329"/>
      <c r="K846" s="329"/>
      <c r="L846" s="330"/>
      <c r="M846" s="1012"/>
      <c r="N846" s="831"/>
      <c r="O846" s="133"/>
      <c r="P846" s="121"/>
    </row>
    <row r="847" spans="1:16" s="159" customFormat="1" ht="15" x14ac:dyDescent="0.25">
      <c r="A847" s="43"/>
      <c r="B847" s="43"/>
      <c r="C847" s="43"/>
      <c r="D847" s="43"/>
      <c r="E847" s="518"/>
      <c r="F847" s="284"/>
      <c r="G847" s="41"/>
      <c r="H847" s="290"/>
      <c r="I847" s="24"/>
      <c r="J847" s="223"/>
      <c r="K847" s="223"/>
      <c r="L847" s="224"/>
      <c r="M847" s="1012"/>
      <c r="N847" s="831"/>
      <c r="O847" s="133"/>
      <c r="P847" s="121"/>
    </row>
    <row r="848" spans="1:16" s="159" customFormat="1" ht="15" x14ac:dyDescent="0.25">
      <c r="A848" s="43"/>
      <c r="B848" s="43"/>
      <c r="C848" s="43"/>
      <c r="D848" s="43"/>
      <c r="E848" s="522"/>
      <c r="F848" s="404"/>
      <c r="G848" s="302"/>
      <c r="H848" s="737"/>
      <c r="I848" s="363" t="s">
        <v>272</v>
      </c>
      <c r="J848" s="656"/>
      <c r="K848" s="656"/>
      <c r="L848" s="377"/>
      <c r="M848" s="1012"/>
      <c r="N848" s="831"/>
      <c r="O848" s="133"/>
      <c r="P848" s="121"/>
    </row>
    <row r="849" spans="1:16" s="159" customFormat="1" ht="15" x14ac:dyDescent="0.25">
      <c r="A849" s="583"/>
      <c r="B849" s="583"/>
      <c r="C849" s="583"/>
      <c r="D849" s="583"/>
      <c r="E849" s="519" t="s">
        <v>226</v>
      </c>
      <c r="F849" s="404"/>
      <c r="G849" s="302"/>
      <c r="H849" s="737"/>
      <c r="I849" s="365" t="s">
        <v>227</v>
      </c>
      <c r="J849" s="613"/>
      <c r="K849" s="613"/>
      <c r="L849" s="380"/>
      <c r="M849" s="1012"/>
      <c r="N849" s="831"/>
      <c r="O849" s="133"/>
      <c r="P849" s="121"/>
    </row>
    <row r="850" spans="1:16" s="159" customFormat="1" ht="15" x14ac:dyDescent="0.25">
      <c r="A850" s="476"/>
      <c r="B850" s="43"/>
      <c r="C850" s="43"/>
      <c r="D850" s="476"/>
      <c r="E850" s="518"/>
      <c r="F850" s="284"/>
      <c r="G850" s="294"/>
      <c r="H850" s="290"/>
      <c r="I850" s="239"/>
      <c r="J850" s="223"/>
      <c r="K850" s="223"/>
      <c r="L850" s="224"/>
      <c r="M850" s="1012"/>
      <c r="N850" s="831"/>
      <c r="O850" s="133"/>
      <c r="P850" s="121"/>
    </row>
    <row r="851" spans="1:16" s="159" customFormat="1" x14ac:dyDescent="0.2">
      <c r="A851" s="476"/>
      <c r="B851" s="43"/>
      <c r="C851" s="43"/>
      <c r="D851" s="476"/>
      <c r="E851" s="518"/>
      <c r="F851" s="284">
        <v>142</v>
      </c>
      <c r="G851" s="41"/>
      <c r="H851" s="284">
        <v>411</v>
      </c>
      <c r="I851" s="194" t="s">
        <v>2</v>
      </c>
      <c r="J851" s="837">
        <v>3000000</v>
      </c>
      <c r="K851" s="204"/>
      <c r="L851" s="46">
        <f>SUM(J851:K851)</f>
        <v>3000000</v>
      </c>
      <c r="M851" s="1012"/>
      <c r="N851" s="133"/>
      <c r="O851" s="133"/>
      <c r="P851" s="121"/>
    </row>
    <row r="852" spans="1:16" s="159" customFormat="1" x14ac:dyDescent="0.2">
      <c r="A852" s="476"/>
      <c r="B852" s="43"/>
      <c r="C852" s="43"/>
      <c r="D852" s="476"/>
      <c r="E852" s="518"/>
      <c r="F852" s="284">
        <v>143</v>
      </c>
      <c r="G852" s="41"/>
      <c r="H852" s="284">
        <v>412</v>
      </c>
      <c r="I852" s="243" t="s">
        <v>3</v>
      </c>
      <c r="J852" s="837">
        <v>515000</v>
      </c>
      <c r="K852" s="204"/>
      <c r="L852" s="46">
        <f t="shared" ref="L852:L865" si="49">SUM(J852:K852)</f>
        <v>515000</v>
      </c>
      <c r="M852" s="1012"/>
      <c r="N852" s="133"/>
      <c r="O852" s="133"/>
      <c r="P852" s="121"/>
    </row>
    <row r="853" spans="1:16" s="159" customFormat="1" x14ac:dyDescent="0.2">
      <c r="A853" s="476"/>
      <c r="B853" s="43"/>
      <c r="C853" s="43"/>
      <c r="D853" s="476"/>
      <c r="E853" s="518"/>
      <c r="F853" s="284">
        <v>144</v>
      </c>
      <c r="G853" s="41"/>
      <c r="H853" s="284">
        <v>413</v>
      </c>
      <c r="I853" s="243" t="s">
        <v>33</v>
      </c>
      <c r="J853" s="45">
        <v>50000</v>
      </c>
      <c r="K853" s="204"/>
      <c r="L853" s="46">
        <f t="shared" si="49"/>
        <v>50000</v>
      </c>
      <c r="M853" s="1012"/>
      <c r="N853" s="831"/>
      <c r="O853" s="133"/>
      <c r="P853" s="121"/>
    </row>
    <row r="854" spans="1:16" s="159" customFormat="1" x14ac:dyDescent="0.2">
      <c r="A854" s="476"/>
      <c r="B854" s="43"/>
      <c r="C854" s="43"/>
      <c r="D854" s="476"/>
      <c r="E854" s="518"/>
      <c r="F854" s="284">
        <v>145</v>
      </c>
      <c r="G854" s="41"/>
      <c r="H854" s="284">
        <v>414</v>
      </c>
      <c r="I854" s="243" t="s">
        <v>34</v>
      </c>
      <c r="J854" s="45">
        <v>50000</v>
      </c>
      <c r="K854" s="204"/>
      <c r="L854" s="46">
        <f t="shared" si="49"/>
        <v>50000</v>
      </c>
      <c r="M854" s="1012"/>
      <c r="N854" s="831"/>
      <c r="O854" s="133"/>
      <c r="P854" s="121"/>
    </row>
    <row r="855" spans="1:16" s="159" customFormat="1" x14ac:dyDescent="0.2">
      <c r="A855" s="476"/>
      <c r="B855" s="43"/>
      <c r="C855" s="43"/>
      <c r="D855" s="476"/>
      <c r="E855" s="518"/>
      <c r="F855" s="284">
        <v>146</v>
      </c>
      <c r="G855" s="41"/>
      <c r="H855" s="284">
        <v>415</v>
      </c>
      <c r="I855" s="243" t="s">
        <v>5</v>
      </c>
      <c r="J855" s="45">
        <v>140000</v>
      </c>
      <c r="K855" s="204"/>
      <c r="L855" s="46">
        <f t="shared" si="49"/>
        <v>140000</v>
      </c>
      <c r="M855" s="1012"/>
      <c r="N855" s="831"/>
      <c r="O855" s="133"/>
      <c r="P855" s="121"/>
    </row>
    <row r="856" spans="1:16" s="159" customFormat="1" x14ac:dyDescent="0.2">
      <c r="A856" s="476"/>
      <c r="B856" s="43"/>
      <c r="C856" s="43"/>
      <c r="D856" s="476"/>
      <c r="E856" s="518"/>
      <c r="F856" s="284">
        <v>147</v>
      </c>
      <c r="G856" s="41"/>
      <c r="H856" s="284">
        <v>421</v>
      </c>
      <c r="I856" s="243" t="s">
        <v>7</v>
      </c>
      <c r="J856" s="45">
        <v>185000</v>
      </c>
      <c r="K856" s="204">
        <v>2000</v>
      </c>
      <c r="L856" s="46">
        <f t="shared" si="49"/>
        <v>187000</v>
      </c>
      <c r="M856" s="1017"/>
      <c r="N856" s="831"/>
      <c r="O856" s="133"/>
      <c r="P856" s="121"/>
    </row>
    <row r="857" spans="1:16" s="159" customFormat="1" x14ac:dyDescent="0.2">
      <c r="A857" s="476"/>
      <c r="B857" s="43"/>
      <c r="C857" s="43"/>
      <c r="D857" s="476"/>
      <c r="E857" s="518"/>
      <c r="F857" s="284">
        <v>148</v>
      </c>
      <c r="G857" s="41"/>
      <c r="H857" s="284">
        <v>422</v>
      </c>
      <c r="I857" s="194" t="s">
        <v>8</v>
      </c>
      <c r="J857" s="45">
        <v>200000</v>
      </c>
      <c r="K857" s="204"/>
      <c r="L857" s="46">
        <f t="shared" si="49"/>
        <v>200000</v>
      </c>
      <c r="M857" s="1017"/>
      <c r="N857" s="831"/>
      <c r="O857" s="133"/>
      <c r="P857" s="121"/>
    </row>
    <row r="858" spans="1:16" s="159" customFormat="1" x14ac:dyDescent="0.2">
      <c r="A858" s="476"/>
      <c r="B858" s="43"/>
      <c r="C858" s="43"/>
      <c r="D858" s="476"/>
      <c r="E858" s="518"/>
      <c r="F858" s="284">
        <v>149</v>
      </c>
      <c r="G858" s="41"/>
      <c r="H858" s="284">
        <v>423</v>
      </c>
      <c r="I858" s="194" t="s">
        <v>9</v>
      </c>
      <c r="J858" s="45">
        <v>1470000</v>
      </c>
      <c r="K858" s="204"/>
      <c r="L858" s="46">
        <f t="shared" si="49"/>
        <v>1470000</v>
      </c>
      <c r="M858" s="1012"/>
      <c r="N858" s="831"/>
      <c r="O858" s="133"/>
      <c r="P858" s="121"/>
    </row>
    <row r="859" spans="1:16" s="159" customFormat="1" x14ac:dyDescent="0.2">
      <c r="A859" s="476"/>
      <c r="B859" s="43"/>
      <c r="C859" s="43"/>
      <c r="D859" s="476"/>
      <c r="E859" s="518"/>
      <c r="F859" s="284">
        <v>150</v>
      </c>
      <c r="G859" s="41"/>
      <c r="H859" s="284">
        <v>425</v>
      </c>
      <c r="I859" s="194" t="s">
        <v>11</v>
      </c>
      <c r="J859" s="45">
        <v>60000</v>
      </c>
      <c r="K859" s="204"/>
      <c r="L859" s="46">
        <f t="shared" si="49"/>
        <v>60000</v>
      </c>
      <c r="M859" s="1012"/>
      <c r="N859" s="831"/>
      <c r="O859" s="133"/>
      <c r="P859" s="121"/>
    </row>
    <row r="860" spans="1:16" s="159" customFormat="1" x14ac:dyDescent="0.2">
      <c r="A860" s="476"/>
      <c r="B860" s="43"/>
      <c r="C860" s="43"/>
      <c r="D860" s="476"/>
      <c r="E860" s="518"/>
      <c r="F860" s="284">
        <v>151</v>
      </c>
      <c r="G860" s="41"/>
      <c r="H860" s="284">
        <v>426</v>
      </c>
      <c r="I860" s="194" t="s">
        <v>35</v>
      </c>
      <c r="J860" s="45">
        <v>45000</v>
      </c>
      <c r="K860" s="204"/>
      <c r="L860" s="46">
        <f t="shared" si="49"/>
        <v>45000</v>
      </c>
      <c r="M860" s="1012"/>
      <c r="N860" s="831"/>
      <c r="O860" s="133"/>
      <c r="P860" s="121"/>
    </row>
    <row r="861" spans="1:16" s="159" customFormat="1" x14ac:dyDescent="0.2">
      <c r="A861" s="476"/>
      <c r="B861" s="43"/>
      <c r="C861" s="43"/>
      <c r="D861" s="476"/>
      <c r="E861" s="518"/>
      <c r="F861" s="284">
        <v>152</v>
      </c>
      <c r="G861" s="41"/>
      <c r="H861" s="284">
        <v>465</v>
      </c>
      <c r="I861" s="194" t="s">
        <v>167</v>
      </c>
      <c r="J861" s="45">
        <v>398300</v>
      </c>
      <c r="K861" s="204"/>
      <c r="L861" s="46">
        <f t="shared" si="49"/>
        <v>398300</v>
      </c>
      <c r="M861" s="1012"/>
      <c r="N861" s="831"/>
      <c r="O861" s="133"/>
      <c r="P861" s="121"/>
    </row>
    <row r="862" spans="1:16" s="159" customFormat="1" x14ac:dyDescent="0.2">
      <c r="A862" s="476"/>
      <c r="B862" s="43"/>
      <c r="C862" s="43"/>
      <c r="D862" s="476"/>
      <c r="E862" s="518"/>
      <c r="F862" s="284">
        <v>153</v>
      </c>
      <c r="G862" s="41"/>
      <c r="H862" s="284">
        <v>482</v>
      </c>
      <c r="I862" s="194" t="s">
        <v>17</v>
      </c>
      <c r="J862" s="45">
        <v>35000</v>
      </c>
      <c r="K862" s="204">
        <v>5000</v>
      </c>
      <c r="L862" s="46">
        <f t="shared" si="49"/>
        <v>40000</v>
      </c>
      <c r="M862" s="1012"/>
      <c r="N862" s="831"/>
      <c r="O862" s="133"/>
      <c r="P862" s="121"/>
    </row>
    <row r="863" spans="1:16" s="159" customFormat="1" x14ac:dyDescent="0.2">
      <c r="A863" s="476"/>
      <c r="B863" s="43"/>
      <c r="C863" s="43"/>
      <c r="D863" s="476"/>
      <c r="E863" s="518"/>
      <c r="F863" s="284">
        <v>154</v>
      </c>
      <c r="G863" s="41"/>
      <c r="H863" s="284">
        <v>483</v>
      </c>
      <c r="I863" s="194" t="s">
        <v>104</v>
      </c>
      <c r="J863" s="45">
        <v>50000</v>
      </c>
      <c r="K863" s="204"/>
      <c r="L863" s="46">
        <f t="shared" si="49"/>
        <v>50000</v>
      </c>
      <c r="M863" s="1012"/>
      <c r="N863" s="831"/>
      <c r="O863" s="133"/>
      <c r="P863" s="121"/>
    </row>
    <row r="864" spans="1:16" s="159" customFormat="1" x14ac:dyDescent="0.2">
      <c r="A864" s="476"/>
      <c r="B864" s="43"/>
      <c r="C864" s="43"/>
      <c r="D864" s="476"/>
      <c r="E864" s="518"/>
      <c r="F864" s="284">
        <v>155</v>
      </c>
      <c r="G864" s="41"/>
      <c r="H864" s="284">
        <v>512</v>
      </c>
      <c r="I864" s="194" t="s">
        <v>51</v>
      </c>
      <c r="J864" s="45">
        <v>100000</v>
      </c>
      <c r="K864" s="204"/>
      <c r="L864" s="46">
        <f t="shared" si="49"/>
        <v>100000</v>
      </c>
      <c r="M864" s="1012"/>
      <c r="N864" s="831"/>
      <c r="O864" s="133"/>
      <c r="P864" s="121"/>
    </row>
    <row r="865" spans="1:16" s="159" customFormat="1" x14ac:dyDescent="0.2">
      <c r="A865" s="476"/>
      <c r="B865" s="43"/>
      <c r="C865" s="43"/>
      <c r="D865" s="476"/>
      <c r="E865" s="518"/>
      <c r="F865" s="284">
        <v>156</v>
      </c>
      <c r="G865" s="41"/>
      <c r="H865" s="284">
        <v>515</v>
      </c>
      <c r="I865" s="194" t="s">
        <v>23</v>
      </c>
      <c r="J865" s="45">
        <v>500000</v>
      </c>
      <c r="K865" s="204"/>
      <c r="L865" s="46">
        <f t="shared" si="49"/>
        <v>500000</v>
      </c>
      <c r="M865" s="1012"/>
      <c r="N865" s="831"/>
      <c r="O865" s="133"/>
      <c r="P865" s="121"/>
    </row>
    <row r="866" spans="1:16" s="159" customFormat="1" ht="15" x14ac:dyDescent="0.2">
      <c r="A866" s="476"/>
      <c r="B866" s="43"/>
      <c r="C866" s="403"/>
      <c r="D866" s="476"/>
      <c r="E866" s="518"/>
      <c r="F866" s="284"/>
      <c r="G866" s="41"/>
      <c r="H866" s="284"/>
      <c r="I866" s="191"/>
      <c r="J866" s="235"/>
      <c r="K866" s="218"/>
      <c r="L866" s="223"/>
      <c r="M866" s="1017"/>
      <c r="N866" s="831"/>
      <c r="O866" s="133"/>
      <c r="P866" s="121"/>
    </row>
    <row r="867" spans="1:16" s="159" customFormat="1" ht="15" x14ac:dyDescent="0.2">
      <c r="A867" s="476"/>
      <c r="B867" s="43"/>
      <c r="C867" s="403"/>
      <c r="D867" s="476"/>
      <c r="E867" s="518"/>
      <c r="F867" s="284"/>
      <c r="G867" s="47" t="s">
        <v>37</v>
      </c>
      <c r="H867" s="284"/>
      <c r="I867" s="194" t="s">
        <v>38</v>
      </c>
      <c r="J867" s="46">
        <f>SUM(J851:J865)</f>
        <v>6798300</v>
      </c>
      <c r="K867" s="46"/>
      <c r="L867" s="46">
        <f>SUM(J867+K867)</f>
        <v>6798300</v>
      </c>
      <c r="M867" s="1017"/>
      <c r="N867" s="831"/>
      <c r="O867" s="133"/>
      <c r="P867" s="121"/>
    </row>
    <row r="868" spans="1:16" s="159" customFormat="1" ht="15" x14ac:dyDescent="0.2">
      <c r="A868" s="476"/>
      <c r="B868" s="43"/>
      <c r="C868" s="403"/>
      <c r="D868" s="476"/>
      <c r="E868" s="518"/>
      <c r="F868" s="284"/>
      <c r="G868" s="47" t="s">
        <v>55</v>
      </c>
      <c r="H868" s="284"/>
      <c r="I868" s="194" t="s">
        <v>56</v>
      </c>
      <c r="J868" s="46"/>
      <c r="K868" s="46">
        <f>SUM(K851:K865)</f>
        <v>7000</v>
      </c>
      <c r="L868" s="46">
        <f>SUM(J868+K868)</f>
        <v>7000</v>
      </c>
      <c r="M868" s="1012"/>
      <c r="N868" s="831"/>
      <c r="O868" s="133"/>
      <c r="P868" s="121"/>
    </row>
    <row r="869" spans="1:16" s="159" customFormat="1" x14ac:dyDescent="0.2">
      <c r="A869" s="476"/>
      <c r="B869" s="43"/>
      <c r="C869" s="43"/>
      <c r="D869" s="476"/>
      <c r="E869" s="518"/>
      <c r="F869" s="284"/>
      <c r="G869" s="41"/>
      <c r="H869" s="407"/>
      <c r="I869" s="202" t="s">
        <v>290</v>
      </c>
      <c r="J869" s="174">
        <f>SUM(J851:J865)</f>
        <v>6798300</v>
      </c>
      <c r="K869" s="174">
        <f>SUM(K851:K865)</f>
        <v>7000</v>
      </c>
      <c r="L869" s="174">
        <f>SUM(L851:L865)</f>
        <v>6805300</v>
      </c>
      <c r="M869" s="1012"/>
      <c r="N869" s="831"/>
      <c r="O869" s="133"/>
      <c r="P869" s="121"/>
    </row>
    <row r="870" spans="1:16" s="165" customFormat="1" ht="15" x14ac:dyDescent="0.25">
      <c r="A870" s="476"/>
      <c r="B870" s="43"/>
      <c r="C870" s="43"/>
      <c r="D870" s="476"/>
      <c r="E870" s="518"/>
      <c r="F870" s="284"/>
      <c r="G870" s="41"/>
      <c r="H870" s="287"/>
      <c r="I870" s="236"/>
      <c r="J870" s="237"/>
      <c r="K870" s="237"/>
      <c r="L870" s="238"/>
      <c r="M870" s="992"/>
      <c r="N870" s="163"/>
      <c r="O870" s="163"/>
      <c r="P870" s="832"/>
    </row>
    <row r="871" spans="1:16" s="165" customFormat="1" ht="15" x14ac:dyDescent="0.25">
      <c r="A871" s="476"/>
      <c r="B871" s="43"/>
      <c r="C871" s="43"/>
      <c r="D871" s="476"/>
      <c r="E871" s="522"/>
      <c r="F871" s="404"/>
      <c r="G871" s="302"/>
      <c r="H871" s="434"/>
      <c r="I871" s="363" t="s">
        <v>237</v>
      </c>
      <c r="J871" s="375"/>
      <c r="K871" s="376"/>
      <c r="L871" s="377"/>
      <c r="M871" s="992"/>
      <c r="N871" s="163"/>
      <c r="O871" s="163"/>
      <c r="P871" s="832"/>
    </row>
    <row r="872" spans="1:16" x14ac:dyDescent="0.2">
      <c r="A872" s="582"/>
      <c r="B872" s="583"/>
      <c r="C872" s="583"/>
      <c r="D872" s="582"/>
      <c r="E872" s="519" t="s">
        <v>236</v>
      </c>
      <c r="F872" s="404"/>
      <c r="G872" s="302"/>
      <c r="H872" s="422"/>
      <c r="I872" s="365" t="s">
        <v>444</v>
      </c>
      <c r="J872" s="378"/>
      <c r="K872" s="379"/>
      <c r="L872" s="380"/>
      <c r="N872" s="16"/>
    </row>
    <row r="873" spans="1:16" x14ac:dyDescent="0.2">
      <c r="A873" s="476"/>
      <c r="B873" s="43"/>
      <c r="D873" s="476"/>
      <c r="E873" s="518"/>
      <c r="F873" s="284"/>
      <c r="G873" s="294"/>
      <c r="H873" s="286"/>
      <c r="I873" s="239"/>
      <c r="J873" s="235"/>
      <c r="K873" s="218"/>
      <c r="L873" s="224"/>
      <c r="N873" s="16"/>
    </row>
    <row r="874" spans="1:16" x14ac:dyDescent="0.2">
      <c r="A874" s="476"/>
      <c r="B874" s="43"/>
      <c r="D874" s="476"/>
      <c r="E874" s="518"/>
      <c r="F874" s="284">
        <v>157</v>
      </c>
      <c r="G874" s="41"/>
      <c r="H874" s="284">
        <v>421</v>
      </c>
      <c r="I874" s="243" t="s">
        <v>7</v>
      </c>
      <c r="J874" s="45">
        <v>850000</v>
      </c>
      <c r="K874" s="204"/>
      <c r="L874" s="46">
        <f t="shared" ref="L874:L880" si="50">SUM(J874+K874)</f>
        <v>850000</v>
      </c>
      <c r="N874" s="16"/>
    </row>
    <row r="875" spans="1:16" x14ac:dyDescent="0.2">
      <c r="A875" s="476"/>
      <c r="B875" s="43"/>
      <c r="D875" s="476"/>
      <c r="E875" s="518"/>
      <c r="F875" s="284">
        <v>158</v>
      </c>
      <c r="G875" s="41"/>
      <c r="H875" s="284">
        <v>423</v>
      </c>
      <c r="I875" s="194" t="s">
        <v>9</v>
      </c>
      <c r="J875" s="45">
        <v>3300000</v>
      </c>
      <c r="K875" s="204">
        <v>80000</v>
      </c>
      <c r="L875" s="46">
        <f t="shared" si="50"/>
        <v>3380000</v>
      </c>
      <c r="N875" s="16"/>
    </row>
    <row r="876" spans="1:16" x14ac:dyDescent="0.2">
      <c r="A876" s="476"/>
      <c r="B876" s="43"/>
      <c r="D876" s="476"/>
      <c r="E876" s="518"/>
      <c r="F876" s="284">
        <v>159</v>
      </c>
      <c r="G876" s="41"/>
      <c r="H876" s="284">
        <v>424</v>
      </c>
      <c r="I876" s="194" t="s">
        <v>10</v>
      </c>
      <c r="J876" s="45">
        <v>4000000</v>
      </c>
      <c r="K876" s="204"/>
      <c r="L876" s="46">
        <f t="shared" si="50"/>
        <v>4000000</v>
      </c>
      <c r="N876" s="16"/>
    </row>
    <row r="877" spans="1:16" x14ac:dyDescent="0.2">
      <c r="A877" s="476"/>
      <c r="B877" s="43"/>
      <c r="D877" s="476"/>
      <c r="E877" s="518"/>
      <c r="F877" s="284">
        <v>160</v>
      </c>
      <c r="G877" s="41"/>
      <c r="H877" s="284">
        <v>425</v>
      </c>
      <c r="I877" s="194" t="s">
        <v>11</v>
      </c>
      <c r="J877" s="45">
        <v>200000</v>
      </c>
      <c r="K877" s="204"/>
      <c r="L877" s="46">
        <f t="shared" si="50"/>
        <v>200000</v>
      </c>
      <c r="N877" s="16"/>
    </row>
    <row r="878" spans="1:16" x14ac:dyDescent="0.2">
      <c r="A878" s="476"/>
      <c r="B878" s="43"/>
      <c r="D878" s="476"/>
      <c r="E878" s="518"/>
      <c r="F878" s="284">
        <v>161</v>
      </c>
      <c r="G878" s="41"/>
      <c r="H878" s="284">
        <v>426</v>
      </c>
      <c r="I878" s="194" t="s">
        <v>35</v>
      </c>
      <c r="J878" s="45">
        <v>320000</v>
      </c>
      <c r="K878" s="204">
        <v>125000</v>
      </c>
      <c r="L878" s="46">
        <f t="shared" si="50"/>
        <v>445000</v>
      </c>
      <c r="N878" s="16"/>
    </row>
    <row r="879" spans="1:16" x14ac:dyDescent="0.2">
      <c r="A879" s="476"/>
      <c r="B879" s="43"/>
      <c r="D879" s="476"/>
      <c r="E879" s="518"/>
      <c r="F879" s="284">
        <v>162</v>
      </c>
      <c r="G879" s="41"/>
      <c r="H879" s="284">
        <v>512</v>
      </c>
      <c r="I879" s="194" t="s">
        <v>51</v>
      </c>
      <c r="J879" s="45">
        <v>100000</v>
      </c>
      <c r="K879" s="204"/>
      <c r="L879" s="46">
        <f t="shared" si="50"/>
        <v>100000</v>
      </c>
      <c r="N879" s="16"/>
    </row>
    <row r="880" spans="1:16" x14ac:dyDescent="0.2">
      <c r="A880" s="476"/>
      <c r="B880" s="43"/>
      <c r="D880" s="476"/>
      <c r="E880" s="518"/>
      <c r="F880" s="284">
        <v>163</v>
      </c>
      <c r="G880" s="41"/>
      <c r="H880" s="284">
        <v>523</v>
      </c>
      <c r="I880" s="194" t="s">
        <v>24</v>
      </c>
      <c r="J880" s="45"/>
      <c r="K880" s="204">
        <v>70000</v>
      </c>
      <c r="L880" s="46">
        <f t="shared" si="50"/>
        <v>70000</v>
      </c>
      <c r="N880" s="16"/>
    </row>
    <row r="881" spans="1:14" ht="15" x14ac:dyDescent="0.2">
      <c r="A881" s="476"/>
      <c r="B881" s="43"/>
      <c r="C881" s="403"/>
      <c r="D881" s="476"/>
      <c r="E881" s="518"/>
      <c r="F881" s="284"/>
      <c r="G881" s="41"/>
      <c r="H881" s="285"/>
      <c r="I881" s="236"/>
      <c r="J881" s="237"/>
      <c r="K881" s="237"/>
      <c r="L881" s="238"/>
      <c r="N881" s="16"/>
    </row>
    <row r="882" spans="1:14" ht="15" x14ac:dyDescent="0.2">
      <c r="A882" s="476"/>
      <c r="B882" s="43"/>
      <c r="C882" s="403"/>
      <c r="D882" s="476"/>
      <c r="E882" s="518"/>
      <c r="F882" s="284"/>
      <c r="G882" s="47" t="s">
        <v>37</v>
      </c>
      <c r="H882" s="285"/>
      <c r="I882" s="194" t="s">
        <v>38</v>
      </c>
      <c r="J882" s="46">
        <f>SUM(J885-J884)</f>
        <v>7520000</v>
      </c>
      <c r="K882" s="46"/>
      <c r="L882" s="46">
        <f>SUM(J882+K882)</f>
        <v>7520000</v>
      </c>
      <c r="N882" s="16"/>
    </row>
    <row r="883" spans="1:14" ht="15" x14ac:dyDescent="0.2">
      <c r="A883" s="476"/>
      <c r="B883" s="43"/>
      <c r="C883" s="403"/>
      <c r="D883" s="476"/>
      <c r="E883" s="518"/>
      <c r="F883" s="284"/>
      <c r="G883" s="47" t="s">
        <v>55</v>
      </c>
      <c r="H883" s="285"/>
      <c r="I883" s="194" t="s">
        <v>56</v>
      </c>
      <c r="J883" s="46"/>
      <c r="K883" s="46">
        <f>SUM(K874:K880)</f>
        <v>275000</v>
      </c>
      <c r="L883" s="46">
        <f>SUM(J883+K883)</f>
        <v>275000</v>
      </c>
      <c r="N883" s="16"/>
    </row>
    <row r="884" spans="1:14" ht="15" x14ac:dyDescent="0.2">
      <c r="A884" s="476"/>
      <c r="B884" s="43"/>
      <c r="C884" s="403"/>
      <c r="D884" s="476"/>
      <c r="E884" s="518"/>
      <c r="F884" s="284"/>
      <c r="G884" s="47" t="s">
        <v>113</v>
      </c>
      <c r="H884" s="286"/>
      <c r="I884" s="194" t="s">
        <v>280</v>
      </c>
      <c r="J884" s="46">
        <v>1250000</v>
      </c>
      <c r="K884" s="46"/>
      <c r="L884" s="46">
        <f>SUM(J884+K884)</f>
        <v>1250000</v>
      </c>
      <c r="N884" s="16"/>
    </row>
    <row r="885" spans="1:14" ht="15" x14ac:dyDescent="0.25">
      <c r="A885" s="476"/>
      <c r="B885" s="43"/>
      <c r="C885" s="403"/>
      <c r="D885" s="476"/>
      <c r="E885" s="518"/>
      <c r="F885" s="284"/>
      <c r="G885" s="41"/>
      <c r="H885" s="288"/>
      <c r="I885" s="202" t="s">
        <v>291</v>
      </c>
      <c r="J885" s="174">
        <f>SUM(J874:J880)</f>
        <v>8770000</v>
      </c>
      <c r="K885" s="174">
        <f>SUM(K874:K880)</f>
        <v>275000</v>
      </c>
      <c r="L885" s="174">
        <f>SUM(L882:L884)</f>
        <v>9045000</v>
      </c>
    </row>
    <row r="886" spans="1:14" ht="15" x14ac:dyDescent="0.25">
      <c r="A886" s="476"/>
      <c r="B886" s="43"/>
      <c r="C886" s="403"/>
      <c r="D886" s="476"/>
      <c r="E886" s="518"/>
      <c r="F886" s="284"/>
      <c r="G886" s="41"/>
      <c r="H886" s="288"/>
      <c r="I886" s="17"/>
      <c r="J886" s="167"/>
      <c r="K886" s="167"/>
      <c r="L886" s="300"/>
    </row>
    <row r="887" spans="1:14" ht="15" x14ac:dyDescent="0.25">
      <c r="A887" s="476"/>
      <c r="B887" s="43"/>
      <c r="C887" s="403"/>
      <c r="D887" s="476"/>
      <c r="E887" s="520" t="s">
        <v>377</v>
      </c>
      <c r="F887" s="358"/>
      <c r="G887" s="307"/>
      <c r="H887" s="431"/>
      <c r="I887" s="785" t="s">
        <v>873</v>
      </c>
      <c r="J887" s="167"/>
      <c r="K887" s="167"/>
      <c r="L887" s="300"/>
    </row>
    <row r="888" spans="1:14" ht="15" x14ac:dyDescent="0.2">
      <c r="A888" s="476"/>
      <c r="B888" s="43"/>
      <c r="C888" s="403"/>
      <c r="D888" s="476"/>
      <c r="E888" s="518"/>
      <c r="F888" s="284">
        <v>164</v>
      </c>
      <c r="G888" s="41"/>
      <c r="H888" s="285" t="s">
        <v>46</v>
      </c>
      <c r="I888" s="262" t="s">
        <v>10</v>
      </c>
      <c r="J888" s="51">
        <v>150000</v>
      </c>
      <c r="K888" s="51"/>
      <c r="L888" s="51">
        <f>SUM(J888:K888)</f>
        <v>150000</v>
      </c>
    </row>
    <row r="889" spans="1:14" ht="15" x14ac:dyDescent="0.2">
      <c r="A889" s="476"/>
      <c r="B889" s="43"/>
      <c r="C889" s="403"/>
      <c r="D889" s="476"/>
      <c r="E889" s="518"/>
      <c r="F889" s="284">
        <v>165</v>
      </c>
      <c r="G889" s="41"/>
      <c r="H889" s="285" t="s">
        <v>270</v>
      </c>
      <c r="I889" s="262" t="s">
        <v>584</v>
      </c>
      <c r="J889" s="51">
        <v>100000</v>
      </c>
      <c r="K889" s="51"/>
      <c r="L889" s="51">
        <f t="shared" ref="L889:L890" si="51">SUM(J889:K889)</f>
        <v>100000</v>
      </c>
    </row>
    <row r="890" spans="1:14" ht="15" x14ac:dyDescent="0.2">
      <c r="A890" s="476"/>
      <c r="B890" s="43"/>
      <c r="C890" s="403"/>
      <c r="D890" s="476"/>
      <c r="E890" s="518"/>
      <c r="F890" s="284">
        <v>166</v>
      </c>
      <c r="G890" s="41"/>
      <c r="H890" s="285" t="s">
        <v>271</v>
      </c>
      <c r="I890" s="262" t="s">
        <v>22</v>
      </c>
      <c r="J890" s="51">
        <v>5300000</v>
      </c>
      <c r="K890" s="51"/>
      <c r="L890" s="51">
        <f t="shared" si="51"/>
        <v>5300000</v>
      </c>
    </row>
    <row r="891" spans="1:14" ht="15" x14ac:dyDescent="0.2">
      <c r="A891" s="476"/>
      <c r="B891" s="43"/>
      <c r="C891" s="403"/>
      <c r="D891" s="476"/>
      <c r="E891" s="518"/>
      <c r="F891" s="284"/>
      <c r="G891" s="47" t="s">
        <v>37</v>
      </c>
      <c r="H891" s="285"/>
      <c r="I891" s="265" t="s">
        <v>38</v>
      </c>
      <c r="J891" s="51">
        <f>SUM(J888:J890)</f>
        <v>5550000</v>
      </c>
      <c r="K891" s="51"/>
      <c r="L891" s="51">
        <f>SUM(L888:L890)</f>
        <v>5550000</v>
      </c>
      <c r="M891" s="1014"/>
    </row>
    <row r="892" spans="1:14" ht="15" x14ac:dyDescent="0.25">
      <c r="A892" s="476"/>
      <c r="B892" s="43"/>
      <c r="C892" s="403"/>
      <c r="D892" s="476"/>
      <c r="E892" s="518"/>
      <c r="F892" s="284"/>
      <c r="G892" s="41"/>
      <c r="H892" s="288"/>
      <c r="I892" s="273" t="s">
        <v>704</v>
      </c>
      <c r="J892" s="174">
        <f>SUM(J891)</f>
        <v>5550000</v>
      </c>
      <c r="K892" s="174"/>
      <c r="L892" s="174">
        <f>SUM(L891)</f>
        <v>5550000</v>
      </c>
    </row>
    <row r="893" spans="1:14" ht="15" x14ac:dyDescent="0.2">
      <c r="A893" s="476"/>
      <c r="B893" s="43"/>
      <c r="C893" s="403"/>
      <c r="D893" s="476"/>
      <c r="E893" s="518"/>
      <c r="F893" s="284"/>
      <c r="G893" s="41"/>
      <c r="H893" s="584"/>
      <c r="I893" s="17"/>
      <c r="J893" s="167"/>
      <c r="K893" s="167"/>
      <c r="L893" s="300"/>
      <c r="N893" s="16"/>
    </row>
    <row r="894" spans="1:14" x14ac:dyDescent="0.2">
      <c r="A894" s="476"/>
      <c r="B894" s="43"/>
      <c r="D894" s="476"/>
      <c r="E894" s="518"/>
      <c r="F894" s="284"/>
      <c r="G894" s="41"/>
      <c r="H894" s="285"/>
      <c r="I894" s="657" t="s">
        <v>711</v>
      </c>
      <c r="J894" s="658">
        <f>SUM(J885+J869+J892)</f>
        <v>21118300</v>
      </c>
      <c r="K894" s="658">
        <f>SUM(K885+K869+K892)</f>
        <v>282000</v>
      </c>
      <c r="L894" s="658">
        <f>SUM(L885+L869+L892)</f>
        <v>21400300</v>
      </c>
      <c r="N894" s="16"/>
    </row>
    <row r="895" spans="1:14" x14ac:dyDescent="0.2">
      <c r="A895" s="582"/>
      <c r="B895" s="583"/>
      <c r="C895" s="583"/>
      <c r="D895" s="562"/>
      <c r="E895" s="563"/>
      <c r="F895" s="407"/>
      <c r="G895" s="41"/>
      <c r="H895" s="286"/>
      <c r="I895" s="261"/>
      <c r="J895" s="71"/>
      <c r="K895" s="71"/>
      <c r="L895" s="233"/>
    </row>
    <row r="896" spans="1:14" x14ac:dyDescent="0.2">
      <c r="A896" s="626"/>
      <c r="B896" s="627"/>
      <c r="C896" s="627"/>
      <c r="D896" s="553" t="s">
        <v>254</v>
      </c>
      <c r="E896" s="554"/>
      <c r="F896" s="638"/>
      <c r="G896" s="628"/>
      <c r="H896" s="629"/>
      <c r="I896" s="630" t="s">
        <v>458</v>
      </c>
      <c r="J896" s="631">
        <f>SUM(J906+J917+J926+J933+J942+J950+J956+J962+J967+J972)</f>
        <v>249474825</v>
      </c>
      <c r="K896" s="631"/>
      <c r="L896" s="659">
        <f>SUM(J896:K896)</f>
        <v>249474825</v>
      </c>
    </row>
    <row r="897" spans="1:16" x14ac:dyDescent="0.2">
      <c r="A897" s="476"/>
      <c r="B897" s="43"/>
      <c r="E897" s="518"/>
      <c r="F897" s="284"/>
      <c r="G897" s="294"/>
      <c r="H897" s="432"/>
      <c r="I897" s="239"/>
      <c r="J897" s="27"/>
      <c r="K897" s="27"/>
      <c r="L897" s="53"/>
    </row>
    <row r="898" spans="1:16" x14ac:dyDescent="0.2">
      <c r="A898" s="476"/>
      <c r="B898" s="43"/>
      <c r="E898" s="522"/>
      <c r="F898" s="404"/>
      <c r="G898" s="302"/>
      <c r="H898" s="419"/>
      <c r="I898" s="363" t="s">
        <v>272</v>
      </c>
      <c r="J898" s="364"/>
      <c r="K898" s="364"/>
      <c r="L898" s="382"/>
    </row>
    <row r="899" spans="1:16" ht="22.5" x14ac:dyDescent="0.2">
      <c r="A899" s="550"/>
      <c r="B899" s="401"/>
      <c r="C899" s="401"/>
      <c r="D899" s="334"/>
      <c r="E899" s="519" t="s">
        <v>255</v>
      </c>
      <c r="F899" s="404"/>
      <c r="G899" s="302"/>
      <c r="H899" s="422"/>
      <c r="I899" s="660" t="s">
        <v>459</v>
      </c>
      <c r="J899" s="366"/>
      <c r="K899" s="366"/>
      <c r="L899" s="369"/>
    </row>
    <row r="900" spans="1:16" x14ac:dyDescent="0.2">
      <c r="A900" s="550"/>
      <c r="B900" s="401"/>
      <c r="C900" s="401"/>
      <c r="D900" s="478"/>
      <c r="E900" s="521"/>
      <c r="F900" s="406" t="s">
        <v>217</v>
      </c>
      <c r="G900" s="203"/>
      <c r="H900" s="286"/>
      <c r="I900" s="17"/>
      <c r="J900" s="28"/>
      <c r="K900" s="28"/>
      <c r="L900" s="68"/>
    </row>
    <row r="901" spans="1:16" s="165" customFormat="1" ht="15" x14ac:dyDescent="0.25">
      <c r="A901" s="550"/>
      <c r="B901" s="401"/>
      <c r="C901" s="401">
        <v>421</v>
      </c>
      <c r="D901" s="478"/>
      <c r="E901" s="521"/>
      <c r="F901" s="406"/>
      <c r="G901" s="203"/>
      <c r="H901" s="287"/>
      <c r="I901" s="270" t="s">
        <v>300</v>
      </c>
      <c r="J901" s="67"/>
      <c r="K901" s="67"/>
      <c r="L901" s="192"/>
      <c r="M901" s="991"/>
      <c r="N901" s="834"/>
      <c r="O901" s="163"/>
      <c r="P901" s="832"/>
    </row>
    <row r="902" spans="1:16" x14ac:dyDescent="0.2">
      <c r="A902" s="476"/>
      <c r="B902" s="43"/>
      <c r="E902" s="518"/>
      <c r="F902" s="284"/>
      <c r="G902" s="203"/>
      <c r="H902" s="285"/>
      <c r="I902" s="17"/>
      <c r="J902" s="28"/>
      <c r="K902" s="28"/>
      <c r="L902" s="68"/>
      <c r="M902" s="991"/>
    </row>
    <row r="903" spans="1:16" x14ac:dyDescent="0.2">
      <c r="A903" s="476"/>
      <c r="B903" s="43"/>
      <c r="E903" s="518"/>
      <c r="F903" s="284">
        <v>167</v>
      </c>
      <c r="G903" s="41"/>
      <c r="H903" s="284">
        <v>424</v>
      </c>
      <c r="I903" s="243" t="s">
        <v>108</v>
      </c>
      <c r="J903" s="51">
        <v>1750000</v>
      </c>
      <c r="K903" s="51"/>
      <c r="L903" s="51">
        <f>SUM(J903+K903)</f>
        <v>1750000</v>
      </c>
    </row>
    <row r="904" spans="1:16" s="166" customFormat="1" x14ac:dyDescent="0.2">
      <c r="A904" s="476"/>
      <c r="B904" s="43"/>
      <c r="C904" s="43"/>
      <c r="D904" s="44"/>
      <c r="E904" s="518"/>
      <c r="F904" s="284">
        <v>168</v>
      </c>
      <c r="G904" s="41"/>
      <c r="H904" s="284">
        <v>425</v>
      </c>
      <c r="I904" s="243" t="s">
        <v>11</v>
      </c>
      <c r="J904" s="51">
        <v>300000</v>
      </c>
      <c r="K904" s="51"/>
      <c r="L904" s="51">
        <f>SUM(J904+K904)</f>
        <v>300000</v>
      </c>
      <c r="M904" s="992"/>
      <c r="N904" s="826"/>
      <c r="O904" s="164"/>
      <c r="P904" s="143"/>
    </row>
    <row r="905" spans="1:16" s="166" customFormat="1" x14ac:dyDescent="0.2">
      <c r="A905" s="476"/>
      <c r="B905" s="43"/>
      <c r="C905" s="43"/>
      <c r="D905" s="476"/>
      <c r="E905" s="518"/>
      <c r="F905" s="284">
        <v>169</v>
      </c>
      <c r="G905" s="41"/>
      <c r="H905" s="284">
        <v>426</v>
      </c>
      <c r="I905" s="243" t="s">
        <v>35</v>
      </c>
      <c r="J905" s="51">
        <v>2700000</v>
      </c>
      <c r="K905" s="51"/>
      <c r="L905" s="51">
        <f>SUM(J905+K905)</f>
        <v>2700000</v>
      </c>
      <c r="M905" s="992"/>
      <c r="N905" s="826"/>
      <c r="O905" s="164"/>
      <c r="P905" s="143"/>
    </row>
    <row r="906" spans="1:16" x14ac:dyDescent="0.2">
      <c r="A906" s="476"/>
      <c r="B906" s="43"/>
      <c r="D906" s="476"/>
      <c r="E906" s="518"/>
      <c r="F906" s="284"/>
      <c r="G906" s="41"/>
      <c r="H906" s="285"/>
      <c r="I906" s="268" t="s">
        <v>611</v>
      </c>
      <c r="J906" s="319">
        <f>SUM(J903:J905)</f>
        <v>4750000</v>
      </c>
      <c r="K906" s="319"/>
      <c r="L906" s="319">
        <f>SUM(L903:L905)</f>
        <v>4750000</v>
      </c>
    </row>
    <row r="907" spans="1:16" x14ac:dyDescent="0.2">
      <c r="A907" s="476"/>
      <c r="B907" s="43"/>
      <c r="D907" s="476"/>
      <c r="E907" s="518"/>
      <c r="F907" s="284"/>
      <c r="G907" s="47" t="s">
        <v>37</v>
      </c>
      <c r="H907" s="286"/>
      <c r="I907" s="269" t="s">
        <v>38</v>
      </c>
      <c r="J907" s="51">
        <f>SUM(J906-J908)</f>
        <v>3750000</v>
      </c>
      <c r="K907" s="51"/>
      <c r="L907" s="51">
        <f>SUM(J907+K907)</f>
        <v>3750000</v>
      </c>
    </row>
    <row r="908" spans="1:16" x14ac:dyDescent="0.2">
      <c r="A908" s="476"/>
      <c r="B908" s="43"/>
      <c r="D908" s="476"/>
      <c r="E908" s="518"/>
      <c r="F908" s="284"/>
      <c r="G908" s="47" t="s">
        <v>113</v>
      </c>
      <c r="H908" s="313"/>
      <c r="I908" s="194" t="s">
        <v>280</v>
      </c>
      <c r="J908" s="107">
        <v>1000000</v>
      </c>
      <c r="K908" s="107"/>
      <c r="L908" s="107">
        <f>SUM(J907:K907)</f>
        <v>3750000</v>
      </c>
    </row>
    <row r="909" spans="1:16" x14ac:dyDescent="0.2">
      <c r="A909" s="476"/>
      <c r="B909" s="43"/>
      <c r="E909" s="518"/>
      <c r="F909" s="284"/>
      <c r="G909" s="41"/>
      <c r="H909" s="432"/>
      <c r="I909" s="24"/>
      <c r="J909" s="27"/>
      <c r="K909" s="27"/>
      <c r="L909" s="53"/>
    </row>
    <row r="910" spans="1:16" x14ac:dyDescent="0.2">
      <c r="A910" s="476"/>
      <c r="B910" s="43"/>
      <c r="E910" s="519"/>
      <c r="F910" s="404"/>
      <c r="G910" s="302"/>
      <c r="H910" s="419"/>
      <c r="I910" s="363" t="s">
        <v>237</v>
      </c>
      <c r="J910" s="364"/>
      <c r="K910" s="364"/>
      <c r="L910" s="382"/>
    </row>
    <row r="911" spans="1:16" x14ac:dyDescent="0.2">
      <c r="A911" s="550"/>
      <c r="B911" s="401"/>
      <c r="C911" s="401"/>
      <c r="D911" s="334"/>
      <c r="E911" s="519" t="s">
        <v>419</v>
      </c>
      <c r="F911" s="404"/>
      <c r="G911" s="302"/>
      <c r="H911" s="404"/>
      <c r="I911" s="365" t="s">
        <v>460</v>
      </c>
      <c r="J911" s="366"/>
      <c r="K911" s="366"/>
      <c r="L911" s="369"/>
    </row>
    <row r="912" spans="1:16" x14ac:dyDescent="0.2">
      <c r="A912" s="550"/>
      <c r="B912" s="401"/>
      <c r="C912" s="401"/>
      <c r="D912" s="478"/>
      <c r="E912" s="521"/>
      <c r="F912" s="406"/>
      <c r="G912" s="203"/>
      <c r="H912" s="285"/>
      <c r="I912" s="17"/>
      <c r="J912" s="28"/>
      <c r="K912" s="28"/>
      <c r="L912" s="68"/>
    </row>
    <row r="913" spans="1:16" ht="15" x14ac:dyDescent="0.25">
      <c r="A913" s="550"/>
      <c r="B913" s="401"/>
      <c r="C913" s="401">
        <v>421</v>
      </c>
      <c r="D913" s="478"/>
      <c r="E913" s="521"/>
      <c r="F913" s="406"/>
      <c r="G913" s="203"/>
      <c r="H913" s="288"/>
      <c r="I913" s="270" t="s">
        <v>300</v>
      </c>
      <c r="J913" s="67"/>
      <c r="K913" s="67"/>
      <c r="L913" s="192"/>
    </row>
    <row r="914" spans="1:16" x14ac:dyDescent="0.2">
      <c r="A914" s="476"/>
      <c r="B914" s="43"/>
      <c r="E914" s="518"/>
      <c r="F914" s="284"/>
      <c r="G914" s="203"/>
      <c r="H914" s="285"/>
      <c r="I914" s="17"/>
      <c r="J914" s="28"/>
      <c r="K914" s="28"/>
      <c r="L914" s="68"/>
    </row>
    <row r="915" spans="1:16" ht="33.75" x14ac:dyDescent="0.2">
      <c r="A915" s="476"/>
      <c r="B915" s="43"/>
      <c r="D915" s="476"/>
      <c r="E915" s="518"/>
      <c r="F915" s="284">
        <v>170</v>
      </c>
      <c r="G915" s="41"/>
      <c r="H915" s="285" t="s">
        <v>82</v>
      </c>
      <c r="I915" s="193" t="s">
        <v>420</v>
      </c>
      <c r="J915" s="56">
        <v>34000000</v>
      </c>
      <c r="K915" s="51"/>
      <c r="L915" s="51">
        <f>SUM(J915+K915)</f>
        <v>34000000</v>
      </c>
    </row>
    <row r="916" spans="1:16" ht="22.5" x14ac:dyDescent="0.2">
      <c r="A916" s="476"/>
      <c r="B916" s="43"/>
      <c r="D916" s="476"/>
      <c r="E916" s="518"/>
      <c r="F916" s="284">
        <v>171</v>
      </c>
      <c r="G916" s="41"/>
      <c r="H916" s="285" t="s">
        <v>82</v>
      </c>
      <c r="I916" s="245" t="s">
        <v>318</v>
      </c>
      <c r="J916" s="56">
        <v>8742825</v>
      </c>
      <c r="K916" s="51"/>
      <c r="L916" s="51">
        <f>SUM(J916+K916)</f>
        <v>8742825</v>
      </c>
    </row>
    <row r="917" spans="1:16" x14ac:dyDescent="0.2">
      <c r="A917" s="476"/>
      <c r="B917" s="43"/>
      <c r="D917" s="476"/>
      <c r="E917" s="518"/>
      <c r="F917" s="284"/>
      <c r="G917" s="41"/>
      <c r="H917" s="286"/>
      <c r="I917" s="202" t="s">
        <v>612</v>
      </c>
      <c r="J917" s="52">
        <f>SUM(J915:J916)</f>
        <v>42742825</v>
      </c>
      <c r="K917" s="52"/>
      <c r="L917" s="52">
        <f>SUM(J917+K917)</f>
        <v>42742825</v>
      </c>
    </row>
    <row r="918" spans="1:16" s="165" customFormat="1" x14ac:dyDescent="0.2">
      <c r="A918" s="550"/>
      <c r="B918" s="401"/>
      <c r="C918" s="401"/>
      <c r="D918" s="334"/>
      <c r="E918" s="521"/>
      <c r="F918" s="406"/>
      <c r="G918" s="47" t="s">
        <v>37</v>
      </c>
      <c r="H918" s="286"/>
      <c r="I918" s="194" t="s">
        <v>38</v>
      </c>
      <c r="J918" s="51">
        <f>SUM(J917-J919)</f>
        <v>8742825</v>
      </c>
      <c r="K918" s="51"/>
      <c r="L918" s="51">
        <f>SUM(J918+K918)</f>
        <v>8742825</v>
      </c>
      <c r="M918" s="992"/>
      <c r="N918" s="834"/>
      <c r="O918" s="163"/>
      <c r="P918" s="832"/>
    </row>
    <row r="919" spans="1:16" s="165" customFormat="1" x14ac:dyDescent="0.2">
      <c r="A919" s="550"/>
      <c r="B919" s="401"/>
      <c r="C919" s="401"/>
      <c r="D919" s="334"/>
      <c r="E919" s="521"/>
      <c r="F919" s="406"/>
      <c r="G919" s="47" t="s">
        <v>1081</v>
      </c>
      <c r="H919" s="286"/>
      <c r="I919" s="40" t="s">
        <v>1082</v>
      </c>
      <c r="J919" s="51">
        <v>34000000</v>
      </c>
      <c r="K919" s="51"/>
      <c r="L919" s="51">
        <f>SUM(J919+K919)</f>
        <v>34000000</v>
      </c>
      <c r="M919" s="992"/>
      <c r="N919" s="834"/>
      <c r="O919" s="163"/>
      <c r="P919" s="832"/>
    </row>
    <row r="920" spans="1:16" s="166" customFormat="1" x14ac:dyDescent="0.2">
      <c r="A920" s="476"/>
      <c r="B920" s="43"/>
      <c r="C920" s="43"/>
      <c r="D920" s="476"/>
      <c r="E920" s="518"/>
      <c r="F920" s="284"/>
      <c r="G920" s="203"/>
      <c r="H920" s="406"/>
      <c r="I920" s="236"/>
      <c r="J920" s="237"/>
      <c r="K920" s="237"/>
      <c r="L920" s="238"/>
      <c r="M920" s="992"/>
      <c r="N920" s="826"/>
      <c r="O920" s="164"/>
      <c r="P920" s="143"/>
    </row>
    <row r="921" spans="1:16" x14ac:dyDescent="0.2">
      <c r="A921" s="476"/>
      <c r="B921" s="43"/>
      <c r="D921" s="476"/>
      <c r="E921" s="522"/>
      <c r="F921" s="404"/>
      <c r="G921" s="302"/>
      <c r="H921" s="404"/>
      <c r="I921" s="363" t="s">
        <v>272</v>
      </c>
      <c r="J921" s="364"/>
      <c r="K921" s="364"/>
      <c r="L921" s="382"/>
    </row>
    <row r="922" spans="1:16" ht="22.5" x14ac:dyDescent="0.2">
      <c r="A922" s="476"/>
      <c r="B922" s="43"/>
      <c r="D922" s="476"/>
      <c r="E922" s="519" t="s">
        <v>255</v>
      </c>
      <c r="F922" s="404"/>
      <c r="G922" s="302"/>
      <c r="H922" s="404"/>
      <c r="I922" s="660" t="s">
        <v>459</v>
      </c>
      <c r="J922" s="366"/>
      <c r="K922" s="366"/>
      <c r="L922" s="369"/>
    </row>
    <row r="923" spans="1:16" ht="15" x14ac:dyDescent="0.25">
      <c r="A923" s="476"/>
      <c r="B923" s="43"/>
      <c r="C923" s="401"/>
      <c r="D923" s="334"/>
      <c r="E923" s="521"/>
      <c r="F923" s="406"/>
      <c r="G923" s="41"/>
      <c r="H923" s="288"/>
      <c r="I923" s="17"/>
      <c r="J923" s="28"/>
      <c r="K923" s="28"/>
      <c r="L923" s="68"/>
    </row>
    <row r="924" spans="1:16" x14ac:dyDescent="0.2">
      <c r="A924" s="476"/>
      <c r="B924" s="43"/>
      <c r="C924" s="43">
        <v>560</v>
      </c>
      <c r="E924" s="518"/>
      <c r="F924" s="284"/>
      <c r="G924" s="203"/>
      <c r="H924" s="406"/>
      <c r="I924" s="270" t="s">
        <v>303</v>
      </c>
      <c r="J924" s="67"/>
      <c r="K924" s="67"/>
      <c r="L924" s="192"/>
    </row>
    <row r="925" spans="1:16" x14ac:dyDescent="0.2">
      <c r="A925" s="476"/>
      <c r="B925" s="43"/>
      <c r="E925" s="518"/>
      <c r="F925" s="284">
        <v>172</v>
      </c>
      <c r="G925" s="41"/>
      <c r="H925" s="432" t="s">
        <v>628</v>
      </c>
      <c r="I925" s="193" t="s">
        <v>424</v>
      </c>
      <c r="J925" s="51">
        <v>18000000</v>
      </c>
      <c r="K925" s="51"/>
      <c r="L925" s="51">
        <f>SUM(J925+K925)</f>
        <v>18000000</v>
      </c>
    </row>
    <row r="926" spans="1:16" x14ac:dyDescent="0.2">
      <c r="A926" s="476"/>
      <c r="B926" s="43"/>
      <c r="D926" s="476"/>
      <c r="E926" s="518"/>
      <c r="F926" s="284"/>
      <c r="G926" s="41"/>
      <c r="H926" s="284"/>
      <c r="I926" s="271" t="s">
        <v>611</v>
      </c>
      <c r="J926" s="52">
        <f>SUM(J925)</f>
        <v>18000000</v>
      </c>
      <c r="K926" s="52"/>
      <c r="L926" s="52">
        <f t="shared" ref="L926" si="52">SUM(L925)</f>
        <v>18000000</v>
      </c>
    </row>
    <row r="927" spans="1:16" x14ac:dyDescent="0.2">
      <c r="A927" s="550"/>
      <c r="B927" s="401"/>
      <c r="C927" s="401"/>
      <c r="D927" s="334"/>
      <c r="E927" s="521"/>
      <c r="F927" s="406"/>
      <c r="G927" s="47" t="s">
        <v>37</v>
      </c>
      <c r="H927" s="284"/>
      <c r="I927" s="194" t="s">
        <v>38</v>
      </c>
      <c r="J927" s="51">
        <f>SUM(J926)</f>
        <v>18000000</v>
      </c>
      <c r="K927" s="51"/>
      <c r="L927" s="51">
        <f>SUM(J927+K927)</f>
        <v>18000000</v>
      </c>
    </row>
    <row r="928" spans="1:16" x14ac:dyDescent="0.2">
      <c r="A928" s="550"/>
      <c r="B928" s="401"/>
      <c r="C928" s="401"/>
      <c r="D928" s="478"/>
      <c r="E928" s="521"/>
      <c r="F928" s="406"/>
      <c r="G928" s="203"/>
      <c r="H928" s="284"/>
      <c r="I928" s="69"/>
      <c r="J928" s="198"/>
      <c r="K928" s="198"/>
      <c r="L928" s="301"/>
    </row>
    <row r="929" spans="1:16" x14ac:dyDescent="0.2">
      <c r="B929" s="43"/>
      <c r="C929" s="43">
        <v>421</v>
      </c>
      <c r="E929" s="523"/>
      <c r="F929" s="284"/>
      <c r="G929" s="203"/>
      <c r="H929" s="284"/>
      <c r="I929" s="270" t="s">
        <v>300</v>
      </c>
      <c r="J929" s="234"/>
      <c r="K929" s="234"/>
      <c r="L929" s="661"/>
    </row>
    <row r="930" spans="1:16" ht="15" x14ac:dyDescent="0.25">
      <c r="B930" s="401"/>
      <c r="C930" s="654"/>
      <c r="D930" s="334"/>
      <c r="E930" s="518"/>
      <c r="F930" s="284"/>
      <c r="G930" s="41"/>
      <c r="H930" s="288"/>
      <c r="I930" s="24"/>
      <c r="J930" s="27"/>
      <c r="K930" s="27"/>
      <c r="L930" s="53"/>
    </row>
    <row r="931" spans="1:16" ht="22.5" x14ac:dyDescent="0.2">
      <c r="B931" s="43"/>
      <c r="E931" s="520" t="s">
        <v>254</v>
      </c>
      <c r="F931" s="358"/>
      <c r="G931" s="307"/>
      <c r="H931" s="423"/>
      <c r="I931" s="786" t="s">
        <v>872</v>
      </c>
      <c r="J931" s="299"/>
      <c r="K931" s="299"/>
      <c r="L931" s="49"/>
    </row>
    <row r="932" spans="1:16" x14ac:dyDescent="0.2">
      <c r="B932" s="43"/>
      <c r="E932" s="518"/>
      <c r="F932" s="284">
        <v>173</v>
      </c>
      <c r="G932" s="41"/>
      <c r="H932" s="284">
        <v>424</v>
      </c>
      <c r="I932" s="243" t="s">
        <v>179</v>
      </c>
      <c r="J932" s="56">
        <v>66500000</v>
      </c>
      <c r="K932" s="51"/>
      <c r="L932" s="51">
        <f>SUM(J932+K932)</f>
        <v>66500000</v>
      </c>
    </row>
    <row r="933" spans="1:16" x14ac:dyDescent="0.2">
      <c r="B933" s="43"/>
      <c r="D933" s="476"/>
      <c r="E933" s="518"/>
      <c r="F933" s="284"/>
      <c r="G933" s="41"/>
      <c r="H933" s="284"/>
      <c r="I933" s="272" t="s">
        <v>710</v>
      </c>
      <c r="J933" s="52">
        <f>SUM(J932)</f>
        <v>66500000</v>
      </c>
      <c r="K933" s="51"/>
      <c r="L933" s="48">
        <f>SUM(L932:L932)</f>
        <v>66500000</v>
      </c>
      <c r="M933" s="1014"/>
    </row>
    <row r="934" spans="1:16" x14ac:dyDescent="0.2">
      <c r="B934" s="43"/>
      <c r="D934" s="476"/>
      <c r="E934" s="518"/>
      <c r="F934" s="284"/>
      <c r="G934" s="47" t="s">
        <v>37</v>
      </c>
      <c r="H934" s="284"/>
      <c r="I934" s="194" t="s">
        <v>38</v>
      </c>
      <c r="J934" s="56">
        <v>0</v>
      </c>
      <c r="K934" s="52"/>
      <c r="L934" s="51">
        <f>SUM(J934+K934)</f>
        <v>0</v>
      </c>
      <c r="M934" s="1014"/>
    </row>
    <row r="935" spans="1:16" x14ac:dyDescent="0.2">
      <c r="B935" s="43"/>
      <c r="E935" s="523"/>
      <c r="F935" s="284"/>
      <c r="G935" s="47" t="s">
        <v>113</v>
      </c>
      <c r="H935" s="284"/>
      <c r="I935" s="194" t="s">
        <v>280</v>
      </c>
      <c r="J935" s="56">
        <v>10000000</v>
      </c>
      <c r="K935" s="52"/>
      <c r="L935" s="51">
        <f>SUM(J935+K935)</f>
        <v>10000000</v>
      </c>
    </row>
    <row r="936" spans="1:16" x14ac:dyDescent="0.2">
      <c r="B936" s="43"/>
      <c r="E936" s="523"/>
      <c r="F936" s="284"/>
      <c r="G936" s="47" t="s">
        <v>1081</v>
      </c>
      <c r="H936" s="284"/>
      <c r="I936" s="40" t="s">
        <v>1082</v>
      </c>
      <c r="J936" s="56">
        <v>56500000</v>
      </c>
      <c r="K936" s="52"/>
      <c r="L936" s="51">
        <v>56500000</v>
      </c>
    </row>
    <row r="937" spans="1:16" x14ac:dyDescent="0.2">
      <c r="B937" s="401"/>
      <c r="C937" s="654"/>
      <c r="D937" s="334"/>
      <c r="E937" s="518"/>
      <c r="F937" s="284"/>
      <c r="G937" s="41"/>
      <c r="H937" s="284"/>
      <c r="I937" s="197"/>
      <c r="J937" s="27"/>
      <c r="K937" s="28"/>
      <c r="L937" s="68"/>
    </row>
    <row r="938" spans="1:16" s="165" customFormat="1" ht="22.5" x14ac:dyDescent="0.2">
      <c r="A938" s="44"/>
      <c r="B938" s="401"/>
      <c r="C938" s="654"/>
      <c r="D938" s="334"/>
      <c r="E938" s="520" t="s">
        <v>254</v>
      </c>
      <c r="F938" s="358"/>
      <c r="G938" s="307"/>
      <c r="H938" s="423"/>
      <c r="I938" s="786" t="s">
        <v>950</v>
      </c>
      <c r="J938" s="299"/>
      <c r="K938" s="299"/>
      <c r="L938" s="49"/>
      <c r="M938" s="992"/>
      <c r="N938" s="834"/>
      <c r="O938" s="163"/>
      <c r="P938" s="832"/>
    </row>
    <row r="939" spans="1:16" s="165" customFormat="1" x14ac:dyDescent="0.2">
      <c r="A939" s="648"/>
      <c r="B939" s="583"/>
      <c r="C939" s="803"/>
      <c r="D939" s="648"/>
      <c r="E939" s="563"/>
      <c r="F939" s="792" t="s">
        <v>989</v>
      </c>
      <c r="G939" s="793"/>
      <c r="H939" s="792">
        <v>424</v>
      </c>
      <c r="I939" s="801" t="s">
        <v>1071</v>
      </c>
      <c r="J939" s="799">
        <v>400000</v>
      </c>
      <c r="K939" s="799"/>
      <c r="L939" s="799">
        <f>SUM(J939:K939)</f>
        <v>400000</v>
      </c>
      <c r="M939" s="1014"/>
      <c r="N939" s="834"/>
      <c r="O939" s="163"/>
      <c r="P939" s="832"/>
    </row>
    <row r="940" spans="1:16" s="165" customFormat="1" x14ac:dyDescent="0.2">
      <c r="A940" s="44"/>
      <c r="B940" s="43"/>
      <c r="C940" s="43"/>
      <c r="D940" s="44"/>
      <c r="E940" s="518"/>
      <c r="F940" s="284">
        <v>174</v>
      </c>
      <c r="G940" s="41"/>
      <c r="H940" s="430">
        <v>511</v>
      </c>
      <c r="I940" s="194" t="s">
        <v>20</v>
      </c>
      <c r="J940" s="51">
        <v>1100000</v>
      </c>
      <c r="K940" s="52"/>
      <c r="L940" s="51">
        <f>SUM(J940:K940)</f>
        <v>1100000</v>
      </c>
      <c r="M940" s="992"/>
      <c r="N940" s="834"/>
      <c r="O940" s="163"/>
      <c r="P940" s="832"/>
    </row>
    <row r="941" spans="1:16" s="165" customFormat="1" x14ac:dyDescent="0.2">
      <c r="A941" s="44"/>
      <c r="B941" s="43"/>
      <c r="C941" s="43"/>
      <c r="D941" s="44"/>
      <c r="E941" s="518"/>
      <c r="F941" s="284" t="s">
        <v>988</v>
      </c>
      <c r="G941" s="41"/>
      <c r="H941" s="407">
        <v>541</v>
      </c>
      <c r="I941" s="194" t="s">
        <v>25</v>
      </c>
      <c r="J941" s="56">
        <v>53150000</v>
      </c>
      <c r="K941" s="51"/>
      <c r="L941" s="51">
        <f>SUM(J941+K941)</f>
        <v>53150000</v>
      </c>
      <c r="M941" s="992"/>
      <c r="N941" s="834"/>
      <c r="O941" s="163"/>
      <c r="P941" s="832"/>
    </row>
    <row r="942" spans="1:16" s="165" customFormat="1" x14ac:dyDescent="0.2">
      <c r="A942" s="44"/>
      <c r="B942" s="43"/>
      <c r="C942" s="43"/>
      <c r="D942" s="476"/>
      <c r="E942" s="518"/>
      <c r="F942" s="284"/>
      <c r="G942" s="41"/>
      <c r="H942" s="284"/>
      <c r="I942" s="208" t="s">
        <v>710</v>
      </c>
      <c r="J942" s="52">
        <f>SUM(J939:J941)</f>
        <v>54650000</v>
      </c>
      <c r="K942" s="51"/>
      <c r="L942" s="48">
        <f>SUM(L939:L941)</f>
        <v>54650000</v>
      </c>
      <c r="M942" s="992"/>
      <c r="N942" s="834"/>
      <c r="O942" s="163"/>
      <c r="P942" s="832"/>
    </row>
    <row r="943" spans="1:16" s="165" customFormat="1" x14ac:dyDescent="0.2">
      <c r="A943" s="44"/>
      <c r="B943" s="43"/>
      <c r="C943" s="43"/>
      <c r="D943" s="476"/>
      <c r="E943" s="518"/>
      <c r="F943" s="284"/>
      <c r="G943" s="47" t="s">
        <v>37</v>
      </c>
      <c r="H943" s="284"/>
      <c r="I943" s="194" t="s">
        <v>38</v>
      </c>
      <c r="J943" s="56">
        <v>0</v>
      </c>
      <c r="K943" s="52"/>
      <c r="L943" s="51">
        <f>SUM(J943+K943)</f>
        <v>0</v>
      </c>
      <c r="M943" s="992"/>
      <c r="N943" s="834"/>
      <c r="O943" s="163"/>
      <c r="P943" s="832"/>
    </row>
    <row r="944" spans="1:16" s="165" customFormat="1" x14ac:dyDescent="0.2">
      <c r="A944" s="648"/>
      <c r="B944" s="583"/>
      <c r="C944" s="583"/>
      <c r="D944" s="582"/>
      <c r="E944" s="563"/>
      <c r="F944" s="407"/>
      <c r="G944" s="47" t="s">
        <v>113</v>
      </c>
      <c r="H944" s="284"/>
      <c r="I944" s="194" t="s">
        <v>280</v>
      </c>
      <c r="J944" s="56">
        <v>14500000</v>
      </c>
      <c r="K944" s="52"/>
      <c r="L944" s="51">
        <f>SUM(J944+K944)</f>
        <v>14500000</v>
      </c>
      <c r="M944" s="992"/>
      <c r="N944" s="834"/>
      <c r="O944" s="163"/>
      <c r="P944" s="832"/>
    </row>
    <row r="945" spans="1:16" s="165" customFormat="1" x14ac:dyDescent="0.2">
      <c r="A945" s="648"/>
      <c r="B945" s="583"/>
      <c r="C945" s="583"/>
      <c r="D945" s="582"/>
      <c r="E945" s="563"/>
      <c r="F945" s="407"/>
      <c r="G945" s="47" t="s">
        <v>1081</v>
      </c>
      <c r="H945" s="284"/>
      <c r="I945" s="40" t="s">
        <v>1082</v>
      </c>
      <c r="J945" s="56">
        <f>SUM(J942-J944)</f>
        <v>40150000</v>
      </c>
      <c r="K945" s="52"/>
      <c r="L945" s="51">
        <f>SUM(J945+K945)</f>
        <v>40150000</v>
      </c>
      <c r="M945" s="992"/>
      <c r="N945" s="834"/>
      <c r="O945" s="163"/>
      <c r="P945" s="832"/>
    </row>
    <row r="946" spans="1:16" x14ac:dyDescent="0.2">
      <c r="B946" s="401"/>
      <c r="C946" s="654"/>
      <c r="D946" s="334"/>
      <c r="E946" s="518"/>
      <c r="F946" s="284"/>
      <c r="G946" s="294"/>
      <c r="H946" s="284"/>
      <c r="I946" s="239"/>
      <c r="J946" s="27"/>
      <c r="K946" s="27"/>
      <c r="L946" s="53"/>
    </row>
    <row r="947" spans="1:16" ht="15" x14ac:dyDescent="0.25">
      <c r="B947" s="43"/>
      <c r="E947" s="520" t="s">
        <v>254</v>
      </c>
      <c r="F947" s="358"/>
      <c r="G947" s="307"/>
      <c r="H947" s="431"/>
      <c r="I947" s="786" t="s">
        <v>871</v>
      </c>
      <c r="J947" s="299"/>
      <c r="K947" s="67"/>
      <c r="L947" s="192"/>
    </row>
    <row r="948" spans="1:16" x14ac:dyDescent="0.2">
      <c r="B948" s="43"/>
      <c r="E948" s="518"/>
      <c r="F948" s="284">
        <v>175</v>
      </c>
      <c r="G948" s="41"/>
      <c r="H948" s="284">
        <v>426</v>
      </c>
      <c r="I948" s="243" t="s">
        <v>35</v>
      </c>
      <c r="J948" s="51">
        <v>3000000</v>
      </c>
      <c r="K948" s="51"/>
      <c r="L948" s="51">
        <f>SUM(J948+K948)</f>
        <v>3000000</v>
      </c>
    </row>
    <row r="949" spans="1:16" x14ac:dyDescent="0.2">
      <c r="B949" s="43"/>
      <c r="E949" s="518"/>
      <c r="F949" s="284">
        <v>176</v>
      </c>
      <c r="G949" s="41"/>
      <c r="H949" s="284">
        <v>512</v>
      </c>
      <c r="I949" s="243" t="s">
        <v>21</v>
      </c>
      <c r="J949" s="51">
        <v>10332000</v>
      </c>
      <c r="K949" s="51"/>
      <c r="L949" s="51">
        <f>SUM(J949+K949)</f>
        <v>10332000</v>
      </c>
    </row>
    <row r="950" spans="1:16" x14ac:dyDescent="0.2">
      <c r="B950" s="43"/>
      <c r="D950" s="476"/>
      <c r="E950" s="518"/>
      <c r="F950" s="284"/>
      <c r="G950" s="41"/>
      <c r="H950" s="284"/>
      <c r="I950" s="208" t="s">
        <v>710</v>
      </c>
      <c r="J950" s="52">
        <f>SUM(J948:J949)</f>
        <v>13332000</v>
      </c>
      <c r="K950" s="51"/>
      <c r="L950" s="48">
        <f>SUM(L948:L949)</f>
        <v>13332000</v>
      </c>
    </row>
    <row r="951" spans="1:16" x14ac:dyDescent="0.2">
      <c r="B951" s="43"/>
      <c r="D951" s="476"/>
      <c r="E951" s="518"/>
      <c r="F951" s="284"/>
      <c r="G951" s="47" t="s">
        <v>37</v>
      </c>
      <c r="H951" s="284"/>
      <c r="I951" s="194" t="s">
        <v>38</v>
      </c>
      <c r="J951" s="56">
        <f>SUM(J950)</f>
        <v>13332000</v>
      </c>
      <c r="K951" s="52"/>
      <c r="L951" s="51">
        <f>SUM(J951+K951)</f>
        <v>13332000</v>
      </c>
    </row>
    <row r="952" spans="1:16" x14ac:dyDescent="0.2">
      <c r="B952" s="43"/>
      <c r="E952" s="521"/>
      <c r="F952" s="284"/>
      <c r="G952" s="41"/>
      <c r="H952" s="284"/>
      <c r="I952" s="24"/>
      <c r="J952" s="27"/>
      <c r="K952" s="27"/>
      <c r="L952" s="53"/>
    </row>
    <row r="953" spans="1:16" ht="15" x14ac:dyDescent="0.25">
      <c r="B953" s="401"/>
      <c r="C953" s="654"/>
      <c r="D953" s="334"/>
      <c r="E953" s="518"/>
      <c r="F953" s="284"/>
      <c r="G953" s="41"/>
      <c r="H953" s="288"/>
      <c r="I953" s="197"/>
      <c r="J953" s="27"/>
      <c r="K953" s="28"/>
      <c r="L953" s="68"/>
    </row>
    <row r="954" spans="1:16" ht="22.5" x14ac:dyDescent="0.2">
      <c r="B954" s="43"/>
      <c r="E954" s="520" t="s">
        <v>254</v>
      </c>
      <c r="F954" s="358"/>
      <c r="G954" s="307"/>
      <c r="H954" s="358"/>
      <c r="I954" s="786" t="s">
        <v>870</v>
      </c>
      <c r="J954" s="299"/>
      <c r="K954" s="299"/>
      <c r="L954" s="49"/>
    </row>
    <row r="955" spans="1:16" x14ac:dyDescent="0.2">
      <c r="B955" s="43"/>
      <c r="E955" s="518"/>
      <c r="F955" s="284">
        <v>177</v>
      </c>
      <c r="G955" s="41"/>
      <c r="H955" s="284">
        <v>424</v>
      </c>
      <c r="I955" s="243" t="s">
        <v>10</v>
      </c>
      <c r="J955" s="51">
        <v>6000000</v>
      </c>
      <c r="K955" s="51"/>
      <c r="L955" s="51">
        <f>SUM(J955+K955)</f>
        <v>6000000</v>
      </c>
    </row>
    <row r="956" spans="1:16" ht="15" x14ac:dyDescent="0.25">
      <c r="B956" s="43"/>
      <c r="E956" s="518"/>
      <c r="F956" s="284"/>
      <c r="G956" s="41"/>
      <c r="H956" s="288"/>
      <c r="I956" s="272" t="s">
        <v>710</v>
      </c>
      <c r="J956" s="52">
        <f>SUM(J955:J955)</f>
        <v>6000000</v>
      </c>
      <c r="K956" s="51"/>
      <c r="L956" s="48">
        <f>SUM(L955:L955)</f>
        <v>6000000</v>
      </c>
      <c r="M956" s="1014"/>
    </row>
    <row r="957" spans="1:16" x14ac:dyDescent="0.2">
      <c r="B957" s="43"/>
      <c r="D957" s="476"/>
      <c r="E957" s="521"/>
      <c r="F957" s="284"/>
      <c r="G957" s="47" t="s">
        <v>37</v>
      </c>
      <c r="H957" s="284"/>
      <c r="I957" s="194" t="s">
        <v>38</v>
      </c>
      <c r="J957" s="56">
        <v>0</v>
      </c>
      <c r="K957" s="52"/>
      <c r="L957" s="51">
        <f>SUM(J957+K957)</f>
        <v>0</v>
      </c>
      <c r="M957" s="1014"/>
    </row>
    <row r="958" spans="1:16" x14ac:dyDescent="0.2">
      <c r="B958" s="43"/>
      <c r="D958" s="476"/>
      <c r="E958" s="521"/>
      <c r="F958" s="284"/>
      <c r="G958" s="47" t="s">
        <v>1081</v>
      </c>
      <c r="H958" s="284"/>
      <c r="I958" s="40" t="s">
        <v>1082</v>
      </c>
      <c r="J958" s="56">
        <f>SUM(J955)</f>
        <v>6000000</v>
      </c>
      <c r="K958" s="52"/>
      <c r="L958" s="51">
        <f>SUM(J958+K958)</f>
        <v>6000000</v>
      </c>
      <c r="M958" s="1014"/>
    </row>
    <row r="959" spans="1:16" ht="15" x14ac:dyDescent="0.25">
      <c r="B959" s="43"/>
      <c r="D959" s="476"/>
      <c r="E959" s="518"/>
      <c r="F959" s="284"/>
      <c r="G959" s="41"/>
      <c r="H959" s="287"/>
      <c r="I959" s="197"/>
      <c r="J959" s="27"/>
      <c r="K959" s="28"/>
      <c r="L959" s="28"/>
    </row>
    <row r="960" spans="1:16" x14ac:dyDescent="0.2">
      <c r="B960" s="43"/>
      <c r="D960" s="476"/>
      <c r="E960" s="520" t="s">
        <v>254</v>
      </c>
      <c r="F960" s="358"/>
      <c r="G960" s="307"/>
      <c r="H960" s="358"/>
      <c r="I960" s="786" t="s">
        <v>869</v>
      </c>
      <c r="J960" s="299"/>
      <c r="K960" s="299"/>
      <c r="L960" s="49"/>
    </row>
    <row r="961" spans="1:16" s="165" customFormat="1" x14ac:dyDescent="0.2">
      <c r="A961" s="44"/>
      <c r="B961" s="43"/>
      <c r="C961" s="43"/>
      <c r="D961" s="476"/>
      <c r="E961" s="518"/>
      <c r="F961" s="284">
        <v>178</v>
      </c>
      <c r="G961" s="41"/>
      <c r="H961" s="284">
        <v>424</v>
      </c>
      <c r="I961" s="243" t="s">
        <v>10</v>
      </c>
      <c r="J961" s="51">
        <v>4200000</v>
      </c>
      <c r="K961" s="51"/>
      <c r="L961" s="51">
        <f>SUM(J961+K961)</f>
        <v>4200000</v>
      </c>
      <c r="M961" s="992"/>
      <c r="N961" s="834"/>
      <c r="O961" s="163"/>
      <c r="P961" s="832"/>
    </row>
    <row r="962" spans="1:16" s="165" customFormat="1" x14ac:dyDescent="0.2">
      <c r="A962" s="44"/>
      <c r="B962" s="43"/>
      <c r="C962" s="43"/>
      <c r="D962" s="476"/>
      <c r="E962" s="518"/>
      <c r="F962" s="284"/>
      <c r="G962" s="41"/>
      <c r="H962" s="284"/>
      <c r="I962" s="272" t="s">
        <v>710</v>
      </c>
      <c r="J962" s="52">
        <f>SUM(J961:J961)</f>
        <v>4200000</v>
      </c>
      <c r="K962" s="51"/>
      <c r="L962" s="48">
        <f>SUM(L961:L961)</f>
        <v>4200000</v>
      </c>
      <c r="M962" s="992"/>
      <c r="N962" s="834"/>
      <c r="O962" s="163"/>
      <c r="P962" s="832"/>
    </row>
    <row r="963" spans="1:16" x14ac:dyDescent="0.2">
      <c r="B963" s="43"/>
      <c r="D963" s="476"/>
      <c r="E963" s="523"/>
      <c r="F963" s="284"/>
      <c r="G963" s="47" t="s">
        <v>37</v>
      </c>
      <c r="H963" s="284"/>
      <c r="I963" s="194" t="s">
        <v>38</v>
      </c>
      <c r="J963" s="56">
        <f>SUM(J962)</f>
        <v>4200000</v>
      </c>
      <c r="K963" s="52"/>
      <c r="L963" s="51">
        <f>SUM(J963+K963)</f>
        <v>4200000</v>
      </c>
    </row>
    <row r="964" spans="1:16" ht="15" x14ac:dyDescent="0.25">
      <c r="B964" s="43"/>
      <c r="D964" s="476"/>
      <c r="E964" s="518"/>
      <c r="F964" s="284"/>
      <c r="G964" s="41"/>
      <c r="H964" s="298"/>
      <c r="I964" s="197"/>
      <c r="J964" s="27"/>
      <c r="K964" s="28"/>
      <c r="L964" s="28"/>
    </row>
    <row r="965" spans="1:16" ht="37.5" customHeight="1" x14ac:dyDescent="0.2">
      <c r="B965" s="43"/>
      <c r="D965" s="476"/>
      <c r="E965" s="520" t="s">
        <v>254</v>
      </c>
      <c r="F965" s="358"/>
      <c r="G965" s="307"/>
      <c r="H965" s="358"/>
      <c r="I965" s="786" t="s">
        <v>1033</v>
      </c>
      <c r="J965" s="299"/>
      <c r="K965" s="299"/>
      <c r="L965" s="49"/>
    </row>
    <row r="966" spans="1:16" x14ac:dyDescent="0.2">
      <c r="B966" s="43"/>
      <c r="D966" s="476"/>
      <c r="E966" s="518"/>
      <c r="F966" s="284">
        <v>179</v>
      </c>
      <c r="G966" s="41"/>
      <c r="H966" s="285" t="s">
        <v>46</v>
      </c>
      <c r="I966" s="243" t="s">
        <v>10</v>
      </c>
      <c r="J966" s="51">
        <v>38700000</v>
      </c>
      <c r="K966" s="51"/>
      <c r="L966" s="51">
        <f>SUM(J966:K966)</f>
        <v>38700000</v>
      </c>
      <c r="M966" s="1014"/>
      <c r="N966" s="845"/>
    </row>
    <row r="967" spans="1:16" ht="15" x14ac:dyDescent="0.25">
      <c r="B967" s="43"/>
      <c r="D967" s="476"/>
      <c r="E967" s="518"/>
      <c r="F967" s="284"/>
      <c r="G967" s="41"/>
      <c r="H967" s="288"/>
      <c r="I967" s="272" t="s">
        <v>704</v>
      </c>
      <c r="J967" s="52">
        <f>SUM(J966)</f>
        <v>38700000</v>
      </c>
      <c r="K967" s="51"/>
      <c r="L967" s="52">
        <f t="shared" ref="L967:L968" si="53">SUM(J967:K967)</f>
        <v>38700000</v>
      </c>
      <c r="M967" s="1014"/>
      <c r="N967" s="845"/>
    </row>
    <row r="968" spans="1:16" x14ac:dyDescent="0.2">
      <c r="B968" s="43"/>
      <c r="D968" s="476"/>
      <c r="E968" s="518"/>
      <c r="F968" s="284"/>
      <c r="G968" s="47" t="s">
        <v>37</v>
      </c>
      <c r="H968" s="432"/>
      <c r="I968" s="194" t="s">
        <v>38</v>
      </c>
      <c r="J968" s="56">
        <f>SUM(J967)</f>
        <v>38700000</v>
      </c>
      <c r="K968" s="52"/>
      <c r="L968" s="51">
        <f t="shared" si="53"/>
        <v>38700000</v>
      </c>
    </row>
    <row r="969" spans="1:16" x14ac:dyDescent="0.2">
      <c r="B969" s="43"/>
      <c r="D969" s="476"/>
      <c r="E969" s="518"/>
      <c r="F969" s="284"/>
      <c r="G969" s="47"/>
      <c r="H969" s="432"/>
      <c r="I969" s="108"/>
      <c r="J969" s="347"/>
      <c r="K969" s="71"/>
      <c r="L969" s="205"/>
    </row>
    <row r="970" spans="1:16" ht="45" x14ac:dyDescent="0.2">
      <c r="B970" s="43"/>
      <c r="D970" s="476"/>
      <c r="E970" s="520" t="s">
        <v>254</v>
      </c>
      <c r="F970" s="358"/>
      <c r="G970" s="307"/>
      <c r="H970" s="358"/>
      <c r="I970" s="786" t="s">
        <v>1035</v>
      </c>
      <c r="J970" s="299"/>
      <c r="K970" s="299"/>
      <c r="L970" s="49"/>
    </row>
    <row r="971" spans="1:16" x14ac:dyDescent="0.2">
      <c r="B971" s="43"/>
      <c r="D971" s="476"/>
      <c r="E971" s="518"/>
      <c r="F971" s="284" t="s">
        <v>1034</v>
      </c>
      <c r="G971" s="41"/>
      <c r="H971" s="285" t="s">
        <v>46</v>
      </c>
      <c r="I971" s="243" t="s">
        <v>10</v>
      </c>
      <c r="J971" s="51">
        <v>600000</v>
      </c>
      <c r="K971" s="51"/>
      <c r="L971" s="51">
        <f>SUM(J971:K971)</f>
        <v>600000</v>
      </c>
    </row>
    <row r="972" spans="1:16" ht="15" x14ac:dyDescent="0.25">
      <c r="B972" s="43"/>
      <c r="D972" s="476"/>
      <c r="E972" s="518"/>
      <c r="F972" s="284"/>
      <c r="G972" s="41"/>
      <c r="H972" s="288"/>
      <c r="I972" s="272" t="s">
        <v>704</v>
      </c>
      <c r="J972" s="52">
        <f>SUM(J971)</f>
        <v>600000</v>
      </c>
      <c r="K972" s="51"/>
      <c r="L972" s="52">
        <f t="shared" ref="L972:L973" si="54">SUM(J972:K972)</f>
        <v>600000</v>
      </c>
    </row>
    <row r="973" spans="1:16" x14ac:dyDescent="0.2">
      <c r="B973" s="43"/>
      <c r="D973" s="476"/>
      <c r="E973" s="518"/>
      <c r="F973" s="284"/>
      <c r="G973" s="47" t="s">
        <v>37</v>
      </c>
      <c r="H973" s="432"/>
      <c r="I973" s="194" t="s">
        <v>38</v>
      </c>
      <c r="J973" s="56">
        <f>SUM(J972)</f>
        <v>600000</v>
      </c>
      <c r="K973" s="52"/>
      <c r="L973" s="51">
        <f t="shared" si="54"/>
        <v>600000</v>
      </c>
    </row>
    <row r="974" spans="1:16" s="165" customFormat="1" x14ac:dyDescent="0.2">
      <c r="A974" s="648"/>
      <c r="B974" s="583"/>
      <c r="C974" s="583"/>
      <c r="D974" s="562"/>
      <c r="E974" s="563"/>
      <c r="F974" s="407"/>
      <c r="G974" s="41"/>
      <c r="H974" s="286"/>
      <c r="I974" s="261"/>
      <c r="J974" s="71"/>
      <c r="K974" s="71"/>
      <c r="L974" s="233"/>
      <c r="M974" s="992"/>
      <c r="N974" s="834"/>
      <c r="O974" s="163"/>
      <c r="P974" s="832"/>
    </row>
    <row r="975" spans="1:16" x14ac:dyDescent="0.2">
      <c r="A975" s="655"/>
      <c r="B975" s="627"/>
      <c r="C975" s="627"/>
      <c r="D975" s="553" t="s">
        <v>257</v>
      </c>
      <c r="E975" s="554"/>
      <c r="F975" s="638"/>
      <c r="G975" s="628"/>
      <c r="H975" s="629"/>
      <c r="I975" s="630" t="s">
        <v>258</v>
      </c>
      <c r="J975" s="631">
        <f>SUM(J984+J992+J1002+J1013+J1021+J1028+J1035+J1040+J1045+J1050+J1055+J1007)</f>
        <v>67843280.799999997</v>
      </c>
      <c r="K975" s="631"/>
      <c r="L975" s="631">
        <f>SUM(J975:K975)</f>
        <v>67843280.799999997</v>
      </c>
    </row>
    <row r="976" spans="1:16" ht="15" x14ac:dyDescent="0.25">
      <c r="B976" s="43"/>
      <c r="C976" s="469"/>
      <c r="D976" s="477"/>
      <c r="E976" s="518"/>
      <c r="F976" s="284"/>
      <c r="G976" s="203"/>
      <c r="H976" s="286"/>
      <c r="I976" s="17"/>
      <c r="J976" s="27"/>
      <c r="K976" s="27"/>
      <c r="L976" s="53"/>
    </row>
    <row r="977" spans="1:16" x14ac:dyDescent="0.2">
      <c r="B977" s="43"/>
      <c r="C977" s="43">
        <v>620</v>
      </c>
      <c r="D977" s="645"/>
      <c r="E977" s="647"/>
      <c r="F977" s="284"/>
      <c r="G977" s="41"/>
      <c r="H977" s="433"/>
      <c r="I977" s="260" t="s">
        <v>105</v>
      </c>
      <c r="J977" s="299"/>
      <c r="K977" s="299"/>
      <c r="L977" s="49"/>
    </row>
    <row r="978" spans="1:16" x14ac:dyDescent="0.2">
      <c r="B978" s="43"/>
      <c r="D978" s="43"/>
      <c r="E978" s="518"/>
      <c r="F978" s="284"/>
      <c r="G978" s="293"/>
      <c r="H978" s="284"/>
      <c r="I978" s="26"/>
      <c r="J978" s="27"/>
      <c r="K978" s="27"/>
      <c r="L978" s="53"/>
    </row>
    <row r="979" spans="1:16" ht="15" x14ac:dyDescent="0.25">
      <c r="B979" s="43"/>
      <c r="D979" s="43"/>
      <c r="E979" s="522"/>
      <c r="F979" s="404"/>
      <c r="G979" s="302"/>
      <c r="H979" s="434"/>
      <c r="I979" s="363" t="s">
        <v>412</v>
      </c>
      <c r="J979" s="455"/>
      <c r="K979" s="455"/>
      <c r="L979" s="304"/>
    </row>
    <row r="980" spans="1:16" x14ac:dyDescent="0.2">
      <c r="A980" s="648"/>
      <c r="B980" s="583"/>
      <c r="C980" s="583"/>
      <c r="D980" s="583"/>
      <c r="E980" s="519" t="s">
        <v>492</v>
      </c>
      <c r="F980" s="404"/>
      <c r="G980" s="302"/>
      <c r="H980" s="419"/>
      <c r="I980" s="365" t="s">
        <v>572</v>
      </c>
      <c r="J980" s="447"/>
      <c r="K980" s="447"/>
      <c r="L980" s="367"/>
    </row>
    <row r="981" spans="1:16" x14ac:dyDescent="0.2">
      <c r="B981" s="43"/>
      <c r="D981" s="476"/>
      <c r="E981" s="518"/>
      <c r="F981" s="284"/>
      <c r="G981" s="294"/>
      <c r="H981" s="584"/>
      <c r="I981" s="239"/>
      <c r="J981" s="27"/>
      <c r="K981" s="27"/>
      <c r="L981" s="53"/>
      <c r="M981" s="991"/>
      <c r="N981" s="16"/>
    </row>
    <row r="982" spans="1:16" x14ac:dyDescent="0.2">
      <c r="B982" s="43"/>
      <c r="D982" s="476"/>
      <c r="E982" s="518"/>
      <c r="F982" s="284">
        <v>180</v>
      </c>
      <c r="G982" s="41"/>
      <c r="H982" s="285" t="s">
        <v>46</v>
      </c>
      <c r="I982" s="243" t="s">
        <v>654</v>
      </c>
      <c r="J982" s="51">
        <v>8484240</v>
      </c>
      <c r="K982" s="51"/>
      <c r="L982" s="51">
        <f>SUM(J982+K982)</f>
        <v>8484240</v>
      </c>
    </row>
    <row r="983" spans="1:16" x14ac:dyDescent="0.2">
      <c r="B983" s="43"/>
      <c r="D983" s="476"/>
      <c r="E983" s="518"/>
      <c r="F983" s="284"/>
      <c r="G983" s="47" t="s">
        <v>37</v>
      </c>
      <c r="H983" s="286"/>
      <c r="I983" s="194" t="s">
        <v>38</v>
      </c>
      <c r="J983" s="51">
        <f>SUM(J982:J982)</f>
        <v>8484240</v>
      </c>
      <c r="K983" s="51"/>
      <c r="L983" s="51">
        <f>SUM(J983+K983)</f>
        <v>8484240</v>
      </c>
    </row>
    <row r="984" spans="1:16" x14ac:dyDescent="0.2">
      <c r="A984" s="476"/>
      <c r="B984" s="43"/>
      <c r="D984" s="476"/>
      <c r="E984" s="518"/>
      <c r="F984" s="284"/>
      <c r="G984" s="41"/>
      <c r="H984" s="286"/>
      <c r="I984" s="202" t="s">
        <v>622</v>
      </c>
      <c r="J984" s="52">
        <f>SUM(J983)</f>
        <v>8484240</v>
      </c>
      <c r="K984" s="52"/>
      <c r="L984" s="52">
        <f t="shared" ref="L984" si="55">SUM(L983)</f>
        <v>8484240</v>
      </c>
    </row>
    <row r="985" spans="1:16" s="166" customFormat="1" x14ac:dyDescent="0.2">
      <c r="A985" s="476"/>
      <c r="B985" s="43"/>
      <c r="C985" s="43"/>
      <c r="D985" s="476"/>
      <c r="E985" s="518"/>
      <c r="F985" s="284"/>
      <c r="G985" s="294"/>
      <c r="H985" s="284"/>
      <c r="I985" s="649"/>
      <c r="J985" s="71"/>
      <c r="K985" s="71"/>
      <c r="L985" s="233"/>
      <c r="M985" s="992"/>
      <c r="N985" s="826"/>
      <c r="O985" s="164"/>
      <c r="P985" s="143"/>
    </row>
    <row r="986" spans="1:16" x14ac:dyDescent="0.2">
      <c r="A986" s="476"/>
      <c r="B986" s="43"/>
      <c r="D986" s="476"/>
      <c r="E986" s="519"/>
      <c r="F986" s="404"/>
      <c r="G986" s="302"/>
      <c r="H986" s="404"/>
      <c r="I986" s="363" t="s">
        <v>274</v>
      </c>
      <c r="J986" s="364"/>
      <c r="K986" s="364"/>
      <c r="L986" s="382"/>
    </row>
    <row r="987" spans="1:16" x14ac:dyDescent="0.2">
      <c r="A987" s="476"/>
      <c r="B987" s="43"/>
      <c r="D987" s="476"/>
      <c r="E987" s="519" t="s">
        <v>638</v>
      </c>
      <c r="F987" s="404"/>
      <c r="G987" s="302"/>
      <c r="H987" s="404"/>
      <c r="I987" s="365" t="s">
        <v>639</v>
      </c>
      <c r="J987" s="366"/>
      <c r="K987" s="366"/>
      <c r="L987" s="369"/>
    </row>
    <row r="988" spans="1:16" x14ac:dyDescent="0.2">
      <c r="A988" s="476"/>
      <c r="B988" s="43"/>
      <c r="D988" s="43"/>
      <c r="E988" s="518"/>
      <c r="F988" s="284"/>
      <c r="G988" s="41"/>
      <c r="H988" s="284"/>
      <c r="I988" s="17"/>
      <c r="J988" s="28"/>
      <c r="K988" s="28"/>
      <c r="L988" s="68"/>
    </row>
    <row r="989" spans="1:16" x14ac:dyDescent="0.2">
      <c r="A989" s="476"/>
      <c r="B989" s="43"/>
      <c r="C989" s="43">
        <v>560</v>
      </c>
      <c r="D989" s="43"/>
      <c r="E989" s="518"/>
      <c r="F989" s="284"/>
      <c r="G989" s="41"/>
      <c r="H989" s="286"/>
      <c r="I989" s="662" t="s">
        <v>303</v>
      </c>
      <c r="J989" s="28"/>
      <c r="K989" s="28"/>
      <c r="L989" s="68"/>
    </row>
    <row r="990" spans="1:16" x14ac:dyDescent="0.2">
      <c r="A990" s="476"/>
      <c r="B990" s="43"/>
      <c r="E990" s="518"/>
      <c r="F990" s="284">
        <v>181</v>
      </c>
      <c r="G990" s="41"/>
      <c r="H990" s="432" t="s">
        <v>80</v>
      </c>
      <c r="I990" s="243" t="s">
        <v>277</v>
      </c>
      <c r="J990" s="51">
        <v>2000000</v>
      </c>
      <c r="K990" s="51"/>
      <c r="L990" s="51">
        <f>SUM(J990+K990)</f>
        <v>2000000</v>
      </c>
    </row>
    <row r="991" spans="1:16" ht="22.5" x14ac:dyDescent="0.2">
      <c r="A991" s="476"/>
      <c r="B991" s="43"/>
      <c r="E991" s="518"/>
      <c r="F991" s="284">
        <v>182</v>
      </c>
      <c r="G991" s="41"/>
      <c r="H991" s="285" t="s">
        <v>46</v>
      </c>
      <c r="I991" s="245" t="s">
        <v>678</v>
      </c>
      <c r="J991" s="51">
        <v>40000000</v>
      </c>
      <c r="K991" s="51"/>
      <c r="L991" s="51">
        <f>SUM(J991+K991)</f>
        <v>40000000</v>
      </c>
      <c r="N991" s="845"/>
    </row>
    <row r="992" spans="1:16" x14ac:dyDescent="0.2">
      <c r="A992" s="476"/>
      <c r="B992" s="43"/>
      <c r="E992" s="518"/>
      <c r="F992" s="284"/>
      <c r="G992" s="41"/>
      <c r="H992" s="286"/>
      <c r="I992" s="202" t="s">
        <v>662</v>
      </c>
      <c r="J992" s="52">
        <f>SUM(J990:J991)</f>
        <v>42000000</v>
      </c>
      <c r="K992" s="52"/>
      <c r="L992" s="52">
        <f>SUM(J992:K992)</f>
        <v>42000000</v>
      </c>
    </row>
    <row r="993" spans="1:16" x14ac:dyDescent="0.2">
      <c r="A993" s="334"/>
      <c r="B993" s="334"/>
      <c r="C993" s="401"/>
      <c r="D993" s="478"/>
      <c r="E993" s="521"/>
      <c r="F993" s="406"/>
      <c r="G993" s="47" t="s">
        <v>37</v>
      </c>
      <c r="H993" s="286"/>
      <c r="I993" s="194" t="s">
        <v>38</v>
      </c>
      <c r="J993" s="51">
        <v>0</v>
      </c>
      <c r="K993" s="51"/>
      <c r="L993" s="51">
        <f>SUM(J993:K993)</f>
        <v>0</v>
      </c>
      <c r="M993" s="1002"/>
    </row>
    <row r="994" spans="1:16" x14ac:dyDescent="0.2">
      <c r="A994" s="334"/>
      <c r="B994" s="334"/>
      <c r="C994" s="401"/>
      <c r="D994" s="478"/>
      <c r="E994" s="521"/>
      <c r="F994" s="406"/>
      <c r="G994" s="47" t="s">
        <v>1081</v>
      </c>
      <c r="H994" s="286"/>
      <c r="I994" s="40" t="s">
        <v>1082</v>
      </c>
      <c r="J994" s="51">
        <v>42000000</v>
      </c>
      <c r="K994" s="51"/>
      <c r="L994" s="51">
        <f>SUM(J994:K994)</f>
        <v>42000000</v>
      </c>
      <c r="M994" s="1002"/>
    </row>
    <row r="995" spans="1:16" x14ac:dyDescent="0.2">
      <c r="D995" s="476"/>
      <c r="E995" s="518"/>
      <c r="F995" s="284"/>
      <c r="G995" s="203"/>
      <c r="H995" s="286"/>
      <c r="I995" s="17"/>
      <c r="J995" s="28"/>
      <c r="K995" s="28"/>
      <c r="L995" s="68"/>
    </row>
    <row r="996" spans="1:16" x14ac:dyDescent="0.2">
      <c r="B996" s="43"/>
      <c r="D996" s="43"/>
      <c r="E996" s="519"/>
      <c r="F996" s="404"/>
      <c r="G996" s="302"/>
      <c r="H996" s="422"/>
      <c r="I996" s="363" t="s">
        <v>275</v>
      </c>
      <c r="J996" s="364"/>
      <c r="K996" s="364"/>
      <c r="L996" s="382"/>
    </row>
    <row r="997" spans="1:16" x14ac:dyDescent="0.2">
      <c r="B997" s="43"/>
      <c r="D997" s="43"/>
      <c r="E997" s="519" t="s">
        <v>461</v>
      </c>
      <c r="F997" s="404"/>
      <c r="G997" s="302"/>
      <c r="H997" s="404"/>
      <c r="I997" s="365" t="s">
        <v>259</v>
      </c>
      <c r="J997" s="366"/>
      <c r="K997" s="366"/>
      <c r="L997" s="369"/>
    </row>
    <row r="998" spans="1:16" s="159" customFormat="1" ht="15" x14ac:dyDescent="0.25">
      <c r="A998" s="44"/>
      <c r="B998" s="43"/>
      <c r="C998" s="471"/>
      <c r="D998" s="43"/>
      <c r="E998" s="518"/>
      <c r="F998" s="284"/>
      <c r="G998" s="41"/>
      <c r="H998" s="284"/>
      <c r="I998" s="663"/>
      <c r="J998" s="28"/>
      <c r="K998" s="28"/>
      <c r="L998" s="68"/>
      <c r="M998" s="1012"/>
      <c r="N998" s="831"/>
      <c r="O998" s="133"/>
      <c r="P998" s="121"/>
    </row>
    <row r="999" spans="1:16" s="159" customFormat="1" ht="15" x14ac:dyDescent="0.25">
      <c r="A999" s="44"/>
      <c r="B999" s="43"/>
      <c r="C999" s="43">
        <v>510</v>
      </c>
      <c r="D999" s="43"/>
      <c r="E999" s="518"/>
      <c r="F999" s="284"/>
      <c r="G999" s="41"/>
      <c r="H999" s="288"/>
      <c r="I999" s="211" t="s">
        <v>112</v>
      </c>
      <c r="J999" s="67"/>
      <c r="K999" s="67"/>
      <c r="L999" s="192"/>
      <c r="M999" s="1012"/>
      <c r="N999" s="831"/>
      <c r="O999" s="133"/>
      <c r="P999" s="121"/>
    </row>
    <row r="1000" spans="1:16" s="159" customFormat="1" x14ac:dyDescent="0.2">
      <c r="A1000" s="44"/>
      <c r="B1000" s="43"/>
      <c r="C1000" s="43"/>
      <c r="D1000" s="43"/>
      <c r="E1000" s="518"/>
      <c r="F1000" s="284"/>
      <c r="G1000" s="41"/>
      <c r="H1000" s="285"/>
      <c r="I1000" s="24"/>
      <c r="J1000" s="223"/>
      <c r="K1000" s="223"/>
      <c r="L1000" s="224"/>
      <c r="M1000" s="1012"/>
      <c r="N1000" s="831"/>
      <c r="O1000" s="133"/>
      <c r="P1000" s="121"/>
    </row>
    <row r="1001" spans="1:16" s="159" customFormat="1" ht="22.5" x14ac:dyDescent="0.2">
      <c r="A1001" s="44"/>
      <c r="B1001" s="43"/>
      <c r="C1001" s="43"/>
      <c r="D1001" s="43"/>
      <c r="E1001" s="518"/>
      <c r="F1001" s="284">
        <v>183</v>
      </c>
      <c r="G1001" s="41"/>
      <c r="H1001" s="285" t="s">
        <v>46</v>
      </c>
      <c r="I1001" s="246" t="s">
        <v>423</v>
      </c>
      <c r="J1001" s="51">
        <v>8707750</v>
      </c>
      <c r="K1001" s="51"/>
      <c r="L1001" s="51">
        <f>SUM(J1001+K1001)</f>
        <v>8707750</v>
      </c>
      <c r="M1001" s="1012"/>
      <c r="N1001" s="831"/>
      <c r="O1001" s="133"/>
      <c r="P1001" s="121"/>
    </row>
    <row r="1002" spans="1:16" s="159" customFormat="1" x14ac:dyDescent="0.2">
      <c r="A1002" s="476"/>
      <c r="B1002" s="43"/>
      <c r="C1002" s="43"/>
      <c r="D1002" s="476"/>
      <c r="E1002" s="518"/>
      <c r="F1002" s="284"/>
      <c r="G1002" s="41"/>
      <c r="H1002" s="285"/>
      <c r="I1002" s="202" t="s">
        <v>613</v>
      </c>
      <c r="J1002" s="52">
        <f>SUM(J1001:J1001)</f>
        <v>8707750</v>
      </c>
      <c r="K1002" s="52"/>
      <c r="L1002" s="52">
        <f>SUM(L1001:L1001)</f>
        <v>8707750</v>
      </c>
      <c r="M1002" s="1012"/>
      <c r="N1002" s="831"/>
      <c r="O1002" s="133"/>
      <c r="P1002" s="121"/>
    </row>
    <row r="1003" spans="1:16" x14ac:dyDescent="0.2">
      <c r="A1003" s="476"/>
      <c r="B1003" s="43"/>
      <c r="D1003" s="476"/>
      <c r="E1003" s="518"/>
      <c r="F1003" s="284"/>
      <c r="G1003" s="47" t="s">
        <v>37</v>
      </c>
      <c r="H1003" s="285"/>
      <c r="I1003" s="194" t="s">
        <v>38</v>
      </c>
      <c r="J1003" s="344">
        <f>SUM(J1002)</f>
        <v>8707750</v>
      </c>
      <c r="K1003" s="51"/>
      <c r="L1003" s="51">
        <f>SUM(J1003:J1003)</f>
        <v>8707750</v>
      </c>
    </row>
    <row r="1004" spans="1:16" x14ac:dyDescent="0.2">
      <c r="A1004" s="476"/>
      <c r="B1004" s="43"/>
      <c r="D1004" s="476"/>
      <c r="E1004" s="518"/>
      <c r="F1004" s="284"/>
      <c r="G1004" s="47"/>
      <c r="H1004" s="285"/>
      <c r="I1004" s="191"/>
      <c r="J1004" s="907"/>
      <c r="K1004" s="28"/>
      <c r="L1004" s="68"/>
    </row>
    <row r="1005" spans="1:16" ht="22.5" x14ac:dyDescent="0.25">
      <c r="A1005" s="476"/>
      <c r="B1005" s="43"/>
      <c r="D1005" s="476"/>
      <c r="E1005" s="520" t="s">
        <v>257</v>
      </c>
      <c r="F1005" s="873"/>
      <c r="G1005" s="874"/>
      <c r="H1005" s="908"/>
      <c r="I1005" s="787" t="s">
        <v>1030</v>
      </c>
      <c r="J1005" s="892"/>
      <c r="K1005" s="892"/>
      <c r="L1005" s="893"/>
    </row>
    <row r="1006" spans="1:16" x14ac:dyDescent="0.2">
      <c r="A1006" s="476"/>
      <c r="B1006" s="43"/>
      <c r="D1006" s="476"/>
      <c r="E1006" s="769"/>
      <c r="F1006" s="284" t="s">
        <v>1029</v>
      </c>
      <c r="G1006" s="41"/>
      <c r="H1006" s="430">
        <v>424</v>
      </c>
      <c r="I1006" s="194" t="s">
        <v>10</v>
      </c>
      <c r="J1006" s="195">
        <v>1891283.8</v>
      </c>
      <c r="K1006" s="51"/>
      <c r="L1006" s="51">
        <f>SUM(J1006+K1006)</f>
        <v>1891283.8</v>
      </c>
    </row>
    <row r="1007" spans="1:16" x14ac:dyDescent="0.2">
      <c r="A1007" s="476"/>
      <c r="B1007" s="43"/>
      <c r="D1007" s="476"/>
      <c r="E1007" s="769"/>
      <c r="F1007" s="770"/>
      <c r="G1007" s="41"/>
      <c r="H1007" s="285"/>
      <c r="I1007" s="208" t="s">
        <v>710</v>
      </c>
      <c r="J1007" s="52">
        <f>SUM(J1006)</f>
        <v>1891283.8</v>
      </c>
      <c r="K1007" s="52"/>
      <c r="L1007" s="52">
        <f>SUM(L1006)</f>
        <v>1891283.8</v>
      </c>
    </row>
    <row r="1008" spans="1:16" x14ac:dyDescent="0.2">
      <c r="A1008" s="476"/>
      <c r="B1008" s="43"/>
      <c r="D1008" s="476"/>
      <c r="E1008" s="769"/>
      <c r="F1008" s="770"/>
      <c r="G1008" s="47" t="s">
        <v>37</v>
      </c>
      <c r="H1008" s="285"/>
      <c r="I1008" s="194" t="s">
        <v>38</v>
      </c>
      <c r="J1008" s="51">
        <f>SUM(J1007-J1009)</f>
        <v>945641.9</v>
      </c>
      <c r="K1008" s="51"/>
      <c r="L1008" s="51">
        <f>SUM(J1008+K1008)</f>
        <v>945641.9</v>
      </c>
    </row>
    <row r="1009" spans="1:16" x14ac:dyDescent="0.2">
      <c r="A1009" s="476"/>
      <c r="B1009" s="43"/>
      <c r="D1009" s="476"/>
      <c r="E1009" s="769"/>
      <c r="F1009" s="770"/>
      <c r="G1009" s="47" t="s">
        <v>113</v>
      </c>
      <c r="H1009" s="285"/>
      <c r="I1009" s="194" t="s">
        <v>280</v>
      </c>
      <c r="J1009" s="51">
        <v>945641.9</v>
      </c>
      <c r="K1009" s="51"/>
      <c r="L1009" s="51">
        <f>SUM(J1009+K1009)</f>
        <v>945641.9</v>
      </c>
    </row>
    <row r="1010" spans="1:16" x14ac:dyDescent="0.2">
      <c r="A1010" s="476"/>
      <c r="B1010" s="43"/>
      <c r="D1010" s="476"/>
      <c r="E1010" s="518"/>
      <c r="F1010" s="284"/>
      <c r="G1010" s="47"/>
      <c r="H1010" s="285"/>
      <c r="I1010" s="191"/>
      <c r="J1010" s="907"/>
      <c r="K1010" s="28"/>
      <c r="L1010" s="68"/>
    </row>
    <row r="1011" spans="1:16" ht="33.75" x14ac:dyDescent="0.25">
      <c r="A1011" s="476"/>
      <c r="B1011" s="43"/>
      <c r="C1011" s="43">
        <v>560</v>
      </c>
      <c r="D1011" s="476"/>
      <c r="E1011" s="520" t="s">
        <v>257</v>
      </c>
      <c r="F1011" s="358"/>
      <c r="G1011" s="307"/>
      <c r="H1011" s="446"/>
      <c r="I1011" s="787" t="s">
        <v>868</v>
      </c>
      <c r="J1011" s="71"/>
      <c r="K1011" s="71"/>
      <c r="L1011" s="233"/>
    </row>
    <row r="1012" spans="1:16" x14ac:dyDescent="0.2">
      <c r="A1012" s="476"/>
      <c r="B1012" s="43"/>
      <c r="D1012" s="476"/>
      <c r="E1012" s="518"/>
      <c r="F1012" s="284">
        <v>184</v>
      </c>
      <c r="G1012" s="41"/>
      <c r="H1012" s="435">
        <v>511</v>
      </c>
      <c r="I1012" s="194" t="s">
        <v>584</v>
      </c>
      <c r="J1012" s="204">
        <v>5760000</v>
      </c>
      <c r="K1012" s="46"/>
      <c r="L1012" s="46">
        <f>SUM(J1012+K1012)</f>
        <v>5760000</v>
      </c>
    </row>
    <row r="1013" spans="1:16" x14ac:dyDescent="0.2">
      <c r="A1013" s="476"/>
      <c r="B1013" s="43"/>
      <c r="D1013" s="476"/>
      <c r="E1013" s="518"/>
      <c r="F1013" s="284"/>
      <c r="G1013" s="41"/>
      <c r="H1013" s="285"/>
      <c r="I1013" s="208" t="s">
        <v>710</v>
      </c>
      <c r="J1013" s="52">
        <f>SUM(J1012)</f>
        <v>5760000</v>
      </c>
      <c r="K1013" s="52"/>
      <c r="L1013" s="52">
        <f>SUM(L1012)</f>
        <v>5760000</v>
      </c>
    </row>
    <row r="1014" spans="1:16" x14ac:dyDescent="0.2">
      <c r="A1014" s="476"/>
      <c r="B1014" s="43"/>
      <c r="D1014" s="476"/>
      <c r="E1014" s="518"/>
      <c r="F1014" s="284"/>
      <c r="G1014" s="47" t="s">
        <v>37</v>
      </c>
      <c r="H1014" s="285"/>
      <c r="I1014" s="194" t="s">
        <v>38</v>
      </c>
      <c r="J1014" s="46">
        <v>0</v>
      </c>
      <c r="K1014" s="46"/>
      <c r="L1014" s="46">
        <f>SUM(J1014+K1014)</f>
        <v>0</v>
      </c>
    </row>
    <row r="1015" spans="1:16" x14ac:dyDescent="0.2">
      <c r="A1015" s="476"/>
      <c r="B1015" s="43"/>
      <c r="D1015" s="476"/>
      <c r="E1015" s="518"/>
      <c r="F1015" s="284"/>
      <c r="G1015" s="47" t="s">
        <v>113</v>
      </c>
      <c r="H1015" s="285"/>
      <c r="I1015" s="194" t="s">
        <v>280</v>
      </c>
      <c r="J1015" s="46">
        <v>0</v>
      </c>
      <c r="K1015" s="46"/>
      <c r="L1015" s="46">
        <f>SUM(J1015+K1015)</f>
        <v>0</v>
      </c>
    </row>
    <row r="1016" spans="1:16" x14ac:dyDescent="0.2">
      <c r="A1016" s="476"/>
      <c r="B1016" s="43"/>
      <c r="D1016" s="476"/>
      <c r="E1016" s="518"/>
      <c r="F1016" s="284"/>
      <c r="G1016" s="47" t="s">
        <v>1081</v>
      </c>
      <c r="H1016" s="285"/>
      <c r="I1016" s="40" t="s">
        <v>1082</v>
      </c>
      <c r="J1016" s="46">
        <f>SUM(J1013)</f>
        <v>5760000</v>
      </c>
      <c r="K1016" s="46"/>
      <c r="L1016" s="46">
        <f>SUM(J1016+K1016)</f>
        <v>5760000</v>
      </c>
    </row>
    <row r="1017" spans="1:16" ht="15" x14ac:dyDescent="0.25">
      <c r="A1017" s="476"/>
      <c r="B1017" s="43"/>
      <c r="D1017" s="476"/>
      <c r="E1017" s="518"/>
      <c r="F1017" s="284"/>
      <c r="G1017" s="47"/>
      <c r="H1017" s="290"/>
      <c r="I1017" s="191"/>
      <c r="J1017" s="223"/>
      <c r="K1017" s="223"/>
      <c r="L1017" s="224"/>
    </row>
    <row r="1018" spans="1:16" ht="22.5" x14ac:dyDescent="0.25">
      <c r="A1018" s="476"/>
      <c r="B1018" s="43"/>
      <c r="C1018" s="43">
        <v>620</v>
      </c>
      <c r="D1018" s="476"/>
      <c r="E1018" s="520" t="s">
        <v>257</v>
      </c>
      <c r="F1018" s="358"/>
      <c r="G1018" s="307"/>
      <c r="H1018" s="446"/>
      <c r="I1018" s="362" t="s">
        <v>867</v>
      </c>
      <c r="J1018" s="71"/>
      <c r="K1018" s="71"/>
      <c r="L1018" s="233"/>
    </row>
    <row r="1019" spans="1:16" s="165" customFormat="1" x14ac:dyDescent="0.2">
      <c r="A1019" s="582"/>
      <c r="B1019" s="583"/>
      <c r="C1019" s="583"/>
      <c r="D1019" s="582"/>
      <c r="E1019" s="563"/>
      <c r="F1019" s="792" t="s">
        <v>987</v>
      </c>
      <c r="G1019" s="793"/>
      <c r="H1019" s="805">
        <v>424</v>
      </c>
      <c r="I1019" s="806" t="s">
        <v>10</v>
      </c>
      <c r="J1019" s="799">
        <v>400000</v>
      </c>
      <c r="K1019" s="799"/>
      <c r="L1019" s="799">
        <f>SUM(J1019:K1019)</f>
        <v>400000</v>
      </c>
      <c r="M1019" s="1014"/>
      <c r="N1019" s="834"/>
      <c r="O1019" s="163"/>
      <c r="P1019" s="832"/>
    </row>
    <row r="1020" spans="1:16" x14ac:dyDescent="0.2">
      <c r="A1020" s="476"/>
      <c r="B1020" s="43"/>
      <c r="D1020" s="476"/>
      <c r="E1020" s="518"/>
      <c r="F1020" s="284">
        <v>185</v>
      </c>
      <c r="G1020" s="41"/>
      <c r="H1020" s="435">
        <v>511</v>
      </c>
      <c r="I1020" s="194" t="s">
        <v>584</v>
      </c>
      <c r="J1020" s="204">
        <v>600000</v>
      </c>
      <c r="K1020" s="46"/>
      <c r="L1020" s="46">
        <f>SUM(J1020+K1020)</f>
        <v>600000</v>
      </c>
    </row>
    <row r="1021" spans="1:16" x14ac:dyDescent="0.2">
      <c r="A1021" s="476"/>
      <c r="B1021" s="43"/>
      <c r="D1021" s="476"/>
      <c r="E1021" s="518"/>
      <c r="F1021" s="284"/>
      <c r="G1021" s="41"/>
      <c r="H1021" s="285"/>
      <c r="I1021" s="208" t="s">
        <v>710</v>
      </c>
      <c r="J1021" s="52">
        <f>SUM(J1019:J1020)</f>
        <v>1000000</v>
      </c>
      <c r="K1021" s="52"/>
      <c r="L1021" s="52">
        <f>SUM(L1019:L1020)</f>
        <v>1000000</v>
      </c>
    </row>
    <row r="1022" spans="1:16" x14ac:dyDescent="0.2">
      <c r="A1022" s="476"/>
      <c r="B1022" s="43"/>
      <c r="D1022" s="476"/>
      <c r="E1022" s="518"/>
      <c r="F1022" s="284"/>
      <c r="G1022" s="47" t="s">
        <v>37</v>
      </c>
      <c r="H1022" s="285"/>
      <c r="I1022" s="194" t="s">
        <v>38</v>
      </c>
      <c r="J1022" s="46">
        <f>SUM(J1021)</f>
        <v>1000000</v>
      </c>
      <c r="K1022" s="46"/>
      <c r="L1022" s="46">
        <f>SUM(J1022+K1022)</f>
        <v>1000000</v>
      </c>
      <c r="M1022" s="1014"/>
    </row>
    <row r="1023" spans="1:16" x14ac:dyDescent="0.2">
      <c r="A1023" s="476"/>
      <c r="B1023" s="43"/>
      <c r="D1023" s="476"/>
      <c r="E1023" s="518"/>
      <c r="F1023" s="284"/>
      <c r="G1023" s="47"/>
      <c r="H1023" s="286"/>
      <c r="I1023" s="209"/>
      <c r="J1023" s="329"/>
      <c r="K1023" s="329"/>
      <c r="L1023" s="330"/>
    </row>
    <row r="1024" spans="1:16" s="165" customFormat="1" x14ac:dyDescent="0.2">
      <c r="A1024" s="476"/>
      <c r="B1024" s="43"/>
      <c r="C1024" s="43"/>
      <c r="D1024" s="476"/>
      <c r="E1024" s="518"/>
      <c r="F1024" s="284"/>
      <c r="G1024" s="47"/>
      <c r="H1024" s="285"/>
      <c r="I1024" s="191"/>
      <c r="J1024" s="223"/>
      <c r="K1024" s="223"/>
      <c r="L1024" s="224"/>
      <c r="M1024" s="1004"/>
      <c r="N1024" s="834"/>
      <c r="O1024" s="163"/>
      <c r="P1024" s="832"/>
    </row>
    <row r="1025" spans="1:16" s="165" customFormat="1" ht="22.5" x14ac:dyDescent="0.2">
      <c r="A1025" s="44"/>
      <c r="B1025" s="43"/>
      <c r="C1025" s="43"/>
      <c r="D1025" s="476"/>
      <c r="E1025" s="520" t="s">
        <v>257</v>
      </c>
      <c r="F1025" s="358"/>
      <c r="G1025" s="307"/>
      <c r="H1025" s="360"/>
      <c r="I1025" s="368" t="s">
        <v>866</v>
      </c>
      <c r="J1025" s="234"/>
      <c r="K1025" s="299"/>
      <c r="L1025" s="49"/>
      <c r="M1025" s="992"/>
      <c r="N1025" s="834"/>
      <c r="O1025" s="163"/>
      <c r="P1025" s="832"/>
    </row>
    <row r="1026" spans="1:16" x14ac:dyDescent="0.2">
      <c r="B1026" s="43"/>
      <c r="D1026" s="476"/>
      <c r="E1026" s="518"/>
      <c r="F1026" s="284">
        <v>186</v>
      </c>
      <c r="G1026" s="41"/>
      <c r="H1026" s="285" t="s">
        <v>270</v>
      </c>
      <c r="I1026" s="194" t="s">
        <v>20</v>
      </c>
      <c r="J1026" s="973">
        <v>1</v>
      </c>
      <c r="K1026" s="969"/>
      <c r="L1026" s="963">
        <f>SUM(J1026:K1026)</f>
        <v>1</v>
      </c>
    </row>
    <row r="1027" spans="1:16" x14ac:dyDescent="0.2">
      <c r="B1027" s="43"/>
      <c r="D1027" s="476"/>
      <c r="E1027" s="518"/>
      <c r="F1027" s="284"/>
      <c r="G1027" s="47" t="s">
        <v>37</v>
      </c>
      <c r="H1027" s="285"/>
      <c r="I1027" s="194" t="s">
        <v>38</v>
      </c>
      <c r="J1027" s="973">
        <f>SUM(J1026)</f>
        <v>1</v>
      </c>
      <c r="K1027" s="969"/>
      <c r="L1027" s="963">
        <f>SUM(J1026:K1026)</f>
        <v>1</v>
      </c>
    </row>
    <row r="1028" spans="1:16" x14ac:dyDescent="0.2">
      <c r="B1028" s="43"/>
      <c r="D1028" s="476"/>
      <c r="E1028" s="518"/>
      <c r="F1028" s="284"/>
      <c r="G1028" s="41"/>
      <c r="H1028" s="286"/>
      <c r="I1028" s="202" t="s">
        <v>710</v>
      </c>
      <c r="J1028" s="978">
        <f>SUM(J1027)</f>
        <v>1</v>
      </c>
      <c r="K1028" s="969"/>
      <c r="L1028" s="969">
        <f>SUM(L1027)</f>
        <v>1</v>
      </c>
    </row>
    <row r="1029" spans="1:16" x14ac:dyDescent="0.2">
      <c r="B1029" s="43"/>
      <c r="D1029" s="476"/>
      <c r="E1029" s="518"/>
      <c r="F1029" s="284"/>
      <c r="G1029" s="41"/>
      <c r="H1029" s="286"/>
      <c r="I1029" s="17"/>
      <c r="J1029" s="198"/>
      <c r="K1029" s="27"/>
      <c r="L1029" s="53"/>
    </row>
    <row r="1030" spans="1:16" ht="22.5" x14ac:dyDescent="0.2">
      <c r="B1030" s="43"/>
      <c r="D1030" s="476"/>
      <c r="E1030" s="520" t="s">
        <v>257</v>
      </c>
      <c r="F1030" s="358"/>
      <c r="G1030" s="307"/>
      <c r="H1030" s="360"/>
      <c r="I1030" s="368" t="s">
        <v>865</v>
      </c>
      <c r="J1030" s="234"/>
      <c r="K1030" s="299"/>
      <c r="L1030" s="49"/>
    </row>
    <row r="1031" spans="1:16" s="165" customFormat="1" x14ac:dyDescent="0.2">
      <c r="A1031" s="648"/>
      <c r="B1031" s="583"/>
      <c r="C1031" s="583"/>
      <c r="D1031" s="582"/>
      <c r="E1031" s="563"/>
      <c r="F1031" s="792" t="s">
        <v>986</v>
      </c>
      <c r="G1031" s="793"/>
      <c r="H1031" s="805">
        <v>424</v>
      </c>
      <c r="I1031" s="806" t="s">
        <v>10</v>
      </c>
      <c r="J1031" s="979">
        <v>1</v>
      </c>
      <c r="K1031" s="979"/>
      <c r="L1031" s="979">
        <f>SUM(J1031:K1031)</f>
        <v>1</v>
      </c>
      <c r="M1031" s="991"/>
      <c r="N1031" s="834"/>
      <c r="O1031" s="163"/>
      <c r="P1031" s="832"/>
    </row>
    <row r="1032" spans="1:16" x14ac:dyDescent="0.2">
      <c r="B1032" s="43"/>
      <c r="D1032" s="476"/>
      <c r="E1032" s="518"/>
      <c r="F1032" s="284">
        <v>187</v>
      </c>
      <c r="G1032" s="41"/>
      <c r="H1032" s="285" t="s">
        <v>270</v>
      </c>
      <c r="I1032" s="194" t="s">
        <v>20</v>
      </c>
      <c r="J1032" s="980">
        <v>1</v>
      </c>
      <c r="K1032" s="981"/>
      <c r="L1032" s="974">
        <f>SUM(J1032:K1032)</f>
        <v>1</v>
      </c>
    </row>
    <row r="1033" spans="1:16" x14ac:dyDescent="0.2">
      <c r="B1033" s="43"/>
      <c r="D1033" s="476"/>
      <c r="E1033" s="518"/>
      <c r="F1033" s="284"/>
      <c r="G1033" s="47" t="s">
        <v>37</v>
      </c>
      <c r="H1033" s="285"/>
      <c r="I1033" s="194" t="s">
        <v>38</v>
      </c>
      <c r="J1033" s="980">
        <f>SUM(J1035-J1034)</f>
        <v>1</v>
      </c>
      <c r="K1033" s="981"/>
      <c r="L1033" s="974">
        <f t="shared" ref="L1033:L1035" si="56">SUM(J1033:K1033)</f>
        <v>1</v>
      </c>
    </row>
    <row r="1034" spans="1:16" x14ac:dyDescent="0.2">
      <c r="B1034" s="43"/>
      <c r="D1034" s="476"/>
      <c r="E1034" s="518"/>
      <c r="F1034" s="284"/>
      <c r="G1034" s="47" t="s">
        <v>113</v>
      </c>
      <c r="H1034" s="285"/>
      <c r="I1034" s="194" t="s">
        <v>280</v>
      </c>
      <c r="J1034" s="980">
        <v>1</v>
      </c>
      <c r="K1034" s="981"/>
      <c r="L1034" s="974">
        <f t="shared" si="56"/>
        <v>1</v>
      </c>
      <c r="M1034" s="1000"/>
    </row>
    <row r="1035" spans="1:16" x14ac:dyDescent="0.2">
      <c r="B1035" s="43"/>
      <c r="D1035" s="476"/>
      <c r="E1035" s="518"/>
      <c r="F1035" s="284"/>
      <c r="G1035" s="41"/>
      <c r="H1035" s="286"/>
      <c r="I1035" s="202" t="s">
        <v>710</v>
      </c>
      <c r="J1035" s="982">
        <f>SUM(J1031:J1032)</f>
        <v>2</v>
      </c>
      <c r="K1035" s="981"/>
      <c r="L1035" s="981">
        <f t="shared" si="56"/>
        <v>2</v>
      </c>
    </row>
    <row r="1036" spans="1:16" x14ac:dyDescent="0.2">
      <c r="B1036" s="43"/>
      <c r="D1036" s="476"/>
      <c r="E1036" s="518"/>
      <c r="F1036" s="284"/>
      <c r="G1036" s="41"/>
      <c r="H1036" s="285"/>
      <c r="I1036" s="24"/>
      <c r="J1036" s="198"/>
      <c r="K1036" s="27"/>
      <c r="L1036" s="53"/>
    </row>
    <row r="1037" spans="1:16" s="171" customFormat="1" ht="22.5" x14ac:dyDescent="0.25">
      <c r="A1037" s="44"/>
      <c r="B1037" s="43"/>
      <c r="C1037" s="43"/>
      <c r="D1037" s="476"/>
      <c r="E1037" s="520" t="s">
        <v>257</v>
      </c>
      <c r="F1037" s="358"/>
      <c r="G1037" s="307"/>
      <c r="H1037" s="360"/>
      <c r="I1037" s="368" t="s">
        <v>864</v>
      </c>
      <c r="J1037" s="234"/>
      <c r="K1037" s="299"/>
      <c r="L1037" s="49"/>
      <c r="M1037" s="992"/>
      <c r="N1037" s="653"/>
      <c r="O1037" s="169"/>
      <c r="P1037" s="821"/>
    </row>
    <row r="1038" spans="1:16" s="171" customFormat="1" ht="15" x14ac:dyDescent="0.25">
      <c r="A1038" s="44"/>
      <c r="B1038" s="43"/>
      <c r="C1038" s="43"/>
      <c r="D1038" s="476"/>
      <c r="E1038" s="518"/>
      <c r="F1038" s="284">
        <v>188</v>
      </c>
      <c r="G1038" s="41"/>
      <c r="H1038" s="285" t="s">
        <v>270</v>
      </c>
      <c r="I1038" s="194" t="s">
        <v>20</v>
      </c>
      <c r="J1038" s="973">
        <v>1</v>
      </c>
      <c r="K1038" s="969"/>
      <c r="L1038" s="963">
        <f>SUM(J1038:K1038)</f>
        <v>1</v>
      </c>
      <c r="M1038" s="992"/>
      <c r="N1038" s="653"/>
      <c r="O1038" s="169"/>
      <c r="P1038" s="821"/>
    </row>
    <row r="1039" spans="1:16" x14ac:dyDescent="0.2">
      <c r="B1039" s="43"/>
      <c r="D1039" s="476"/>
      <c r="E1039" s="518"/>
      <c r="F1039" s="284"/>
      <c r="G1039" s="47" t="s">
        <v>37</v>
      </c>
      <c r="H1039" s="285"/>
      <c r="I1039" s="194" t="s">
        <v>38</v>
      </c>
      <c r="J1039" s="973">
        <f>SUM(J1038)</f>
        <v>1</v>
      </c>
      <c r="K1039" s="969"/>
      <c r="L1039" s="963">
        <f>SUM(J1038:K1038)</f>
        <v>1</v>
      </c>
    </row>
    <row r="1040" spans="1:16" x14ac:dyDescent="0.2">
      <c r="B1040" s="43"/>
      <c r="D1040" s="476"/>
      <c r="E1040" s="518"/>
      <c r="F1040" s="284"/>
      <c r="G1040" s="41"/>
      <c r="H1040" s="286"/>
      <c r="I1040" s="202" t="s">
        <v>710</v>
      </c>
      <c r="J1040" s="978">
        <f>SUM(J1039)</f>
        <v>1</v>
      </c>
      <c r="K1040" s="969"/>
      <c r="L1040" s="969">
        <f>SUM(L1039)</f>
        <v>1</v>
      </c>
    </row>
    <row r="1041" spans="1:13" x14ac:dyDescent="0.2">
      <c r="B1041" s="43"/>
      <c r="D1041" s="476"/>
      <c r="E1041" s="518"/>
      <c r="F1041" s="284"/>
      <c r="G1041" s="41"/>
      <c r="H1041" s="285"/>
      <c r="I1041" s="24"/>
      <c r="J1041" s="198"/>
      <c r="K1041" s="27"/>
      <c r="L1041" s="53"/>
    </row>
    <row r="1042" spans="1:13" ht="22.5" x14ac:dyDescent="0.2">
      <c r="B1042" s="43"/>
      <c r="D1042" s="476"/>
      <c r="E1042" s="520" t="s">
        <v>257</v>
      </c>
      <c r="F1042" s="358"/>
      <c r="G1042" s="307"/>
      <c r="H1042" s="429"/>
      <c r="I1042" s="368" t="s">
        <v>863</v>
      </c>
      <c r="J1042" s="234"/>
      <c r="K1042" s="299"/>
      <c r="L1042" s="49"/>
    </row>
    <row r="1043" spans="1:13" x14ac:dyDescent="0.2">
      <c r="B1043" s="43"/>
      <c r="D1043" s="476"/>
      <c r="E1043" s="518"/>
      <c r="F1043" s="284">
        <v>189</v>
      </c>
      <c r="G1043" s="41"/>
      <c r="H1043" s="285" t="s">
        <v>270</v>
      </c>
      <c r="I1043" s="194" t="s">
        <v>20</v>
      </c>
      <c r="J1043" s="56">
        <v>1</v>
      </c>
      <c r="K1043" s="52"/>
      <c r="L1043" s="51">
        <f>SUM(J1043:K1043)</f>
        <v>1</v>
      </c>
    </row>
    <row r="1044" spans="1:13" x14ac:dyDescent="0.2">
      <c r="B1044" s="43"/>
      <c r="D1044" s="476"/>
      <c r="E1044" s="518"/>
      <c r="F1044" s="284"/>
      <c r="G1044" s="47" t="s">
        <v>37</v>
      </c>
      <c r="H1044" s="285"/>
      <c r="I1044" s="194" t="s">
        <v>38</v>
      </c>
      <c r="J1044" s="56">
        <f>SUM(J1043)</f>
        <v>1</v>
      </c>
      <c r="K1044" s="52"/>
      <c r="L1044" s="51">
        <f>SUM(J1043:K1043)</f>
        <v>1</v>
      </c>
    </row>
    <row r="1045" spans="1:13" x14ac:dyDescent="0.2">
      <c r="B1045" s="43"/>
      <c r="D1045" s="476"/>
      <c r="E1045" s="518"/>
      <c r="F1045" s="284"/>
      <c r="G1045" s="41"/>
      <c r="H1045" s="286"/>
      <c r="I1045" s="202" t="s">
        <v>751</v>
      </c>
      <c r="J1045" s="48">
        <f>SUM(J1044)</f>
        <v>1</v>
      </c>
      <c r="K1045" s="52"/>
      <c r="L1045" s="52">
        <f>SUM(L1044)</f>
        <v>1</v>
      </c>
    </row>
    <row r="1046" spans="1:13" x14ac:dyDescent="0.2">
      <c r="B1046" s="43"/>
      <c r="D1046" s="476"/>
      <c r="E1046" s="518"/>
      <c r="F1046" s="284"/>
      <c r="G1046" s="41"/>
      <c r="H1046" s="285"/>
      <c r="I1046" s="172"/>
      <c r="J1046" s="198"/>
      <c r="K1046" s="27"/>
      <c r="L1046" s="53"/>
    </row>
    <row r="1047" spans="1:13" ht="22.5" x14ac:dyDescent="0.2">
      <c r="B1047" s="43"/>
      <c r="D1047" s="476"/>
      <c r="E1047" s="520" t="s">
        <v>257</v>
      </c>
      <c r="F1047" s="358"/>
      <c r="G1047" s="307"/>
      <c r="H1047" s="360"/>
      <c r="I1047" s="368" t="s">
        <v>862</v>
      </c>
      <c r="J1047" s="234"/>
      <c r="K1047" s="299"/>
      <c r="L1047" s="49"/>
    </row>
    <row r="1048" spans="1:13" x14ac:dyDescent="0.2">
      <c r="B1048" s="43"/>
      <c r="D1048" s="476"/>
      <c r="E1048" s="518"/>
      <c r="F1048" s="284">
        <v>190</v>
      </c>
      <c r="G1048" s="41"/>
      <c r="H1048" s="285" t="s">
        <v>270</v>
      </c>
      <c r="I1048" s="194" t="s">
        <v>20</v>
      </c>
      <c r="J1048" s="989">
        <v>1</v>
      </c>
      <c r="K1048" s="956"/>
      <c r="L1048" s="956">
        <f>SUM(J1048:K1048)</f>
        <v>1</v>
      </c>
    </row>
    <row r="1049" spans="1:13" x14ac:dyDescent="0.2">
      <c r="B1049" s="43"/>
      <c r="D1049" s="476"/>
      <c r="E1049" s="518"/>
      <c r="F1049" s="284"/>
      <c r="G1049" s="47" t="s">
        <v>37</v>
      </c>
      <c r="H1049" s="285"/>
      <c r="I1049" s="194" t="s">
        <v>38</v>
      </c>
      <c r="J1049" s="989">
        <f>SUM(J1048)</f>
        <v>1</v>
      </c>
      <c r="K1049" s="956"/>
      <c r="L1049" s="956">
        <f>SUM(J1048:K1048)</f>
        <v>1</v>
      </c>
    </row>
    <row r="1050" spans="1:13" x14ac:dyDescent="0.2">
      <c r="B1050" s="43"/>
      <c r="D1050" s="476"/>
      <c r="E1050" s="518"/>
      <c r="F1050" s="284"/>
      <c r="G1050" s="41"/>
      <c r="H1050" s="286"/>
      <c r="I1050" s="202" t="s">
        <v>751</v>
      </c>
      <c r="J1050" s="990">
        <f>SUM(J1049)</f>
        <v>1</v>
      </c>
      <c r="K1050" s="957"/>
      <c r="L1050" s="957">
        <f>SUM(L1049)</f>
        <v>1</v>
      </c>
      <c r="M1050" s="1002"/>
    </row>
    <row r="1051" spans="1:13" x14ac:dyDescent="0.2">
      <c r="B1051" s="43"/>
      <c r="D1051" s="476"/>
      <c r="E1051" s="518"/>
      <c r="F1051" s="284"/>
      <c r="G1051" s="41"/>
      <c r="H1051" s="285"/>
      <c r="I1051" s="102"/>
      <c r="J1051" s="234"/>
      <c r="K1051" s="299"/>
      <c r="L1051" s="49"/>
      <c r="M1051" s="1002"/>
    </row>
    <row r="1052" spans="1:13" ht="22.5" x14ac:dyDescent="0.2">
      <c r="B1052" s="43"/>
      <c r="D1052" s="476"/>
      <c r="E1052" s="520" t="s">
        <v>257</v>
      </c>
      <c r="F1052" s="358"/>
      <c r="G1052" s="307"/>
      <c r="H1052" s="360"/>
      <c r="I1052" s="368" t="s">
        <v>861</v>
      </c>
      <c r="J1052" s="299"/>
      <c r="K1052" s="299"/>
      <c r="L1052" s="49"/>
    </row>
    <row r="1053" spans="1:13" x14ac:dyDescent="0.2">
      <c r="B1053" s="43"/>
      <c r="D1053" s="476"/>
      <c r="E1053" s="518"/>
      <c r="F1053" s="284">
        <v>191</v>
      </c>
      <c r="G1053" s="41"/>
      <c r="H1053" s="430">
        <v>424</v>
      </c>
      <c r="I1053" s="262" t="s">
        <v>10</v>
      </c>
      <c r="J1053" s="956">
        <v>1</v>
      </c>
      <c r="K1053" s="956"/>
      <c r="L1053" s="956">
        <f>SUM(J1053:K1053)</f>
        <v>1</v>
      </c>
    </row>
    <row r="1054" spans="1:13" x14ac:dyDescent="0.2">
      <c r="B1054" s="43"/>
      <c r="D1054" s="476"/>
      <c r="E1054" s="518"/>
      <c r="F1054" s="284"/>
      <c r="G1054" s="47" t="s">
        <v>37</v>
      </c>
      <c r="H1054" s="432"/>
      <c r="I1054" s="194" t="s">
        <v>38</v>
      </c>
      <c r="J1054" s="956">
        <f>SUM(J1053)</f>
        <v>1</v>
      </c>
      <c r="K1054" s="956"/>
      <c r="L1054" s="956">
        <f>SUM(J1053:K1053)</f>
        <v>1</v>
      </c>
    </row>
    <row r="1055" spans="1:13" x14ac:dyDescent="0.2">
      <c r="A1055" s="476"/>
      <c r="B1055" s="43"/>
      <c r="D1055" s="476"/>
      <c r="E1055" s="518"/>
      <c r="F1055" s="284"/>
      <c r="G1055" s="41"/>
      <c r="H1055" s="285"/>
      <c r="I1055" s="202" t="s">
        <v>710</v>
      </c>
      <c r="J1055" s="957">
        <f>SUM(J1053)</f>
        <v>1</v>
      </c>
      <c r="K1055" s="957"/>
      <c r="L1055" s="957">
        <f>SUM(L1053)</f>
        <v>1</v>
      </c>
    </row>
    <row r="1056" spans="1:13" x14ac:dyDescent="0.2">
      <c r="B1056" s="43"/>
      <c r="D1056" s="476"/>
      <c r="E1056" s="518"/>
      <c r="F1056" s="284"/>
      <c r="G1056" s="41"/>
      <c r="H1056" s="285"/>
      <c r="I1056" s="24"/>
      <c r="J1056" s="198"/>
      <c r="K1056" s="27"/>
      <c r="L1056" s="53"/>
      <c r="M1056" s="1002"/>
    </row>
    <row r="1057" spans="1:12" ht="22.5" x14ac:dyDescent="0.2">
      <c r="A1057" s="626"/>
      <c r="B1057" s="627"/>
      <c r="C1057" s="627"/>
      <c r="D1057" s="595" t="s">
        <v>251</v>
      </c>
      <c r="E1057" s="554"/>
      <c r="F1057" s="638"/>
      <c r="G1057" s="628"/>
      <c r="H1057" s="629"/>
      <c r="I1057" s="664" t="s">
        <v>452</v>
      </c>
      <c r="J1057" s="599">
        <f>SUM(J1073+J1079+J1086+J1098+J1106+J1112+J1117+J1122+J1127+J1132+J1138+J1143+J1067+J1346+J1148+J1153+J1158+J1163+J1170+J1175+J1181+J1187+J1192+J1198+J1204+J1209+J1215+J1220+J1225+J1230+J1235+J1240+J1245+J1061+J1250+J1255+J1260+J1265+J1272+J1277+J1282+J1287+J1292+J1298+J1303+J1308+J1315+J1321+J1327+J1334+J1340+J1352+J1357+J1362+J1368+J1375+J1380+J1388+J1394+J1399+J1404+J1409+J1416+J1423+J1428+J1434+J1439+J1445+J1451+J1457+J1463+J1469+J1475+J1481+J1486+J1491+J1496+J1501+J1509+J1518+J1529+J1541)</f>
        <v>1662640914.01</v>
      </c>
      <c r="K1057" s="599"/>
      <c r="L1057" s="599">
        <f>SUM(J1057:K1057)</f>
        <v>1662640914.01</v>
      </c>
    </row>
    <row r="1058" spans="1:12" x14ac:dyDescent="0.2">
      <c r="A1058" s="476"/>
      <c r="B1058" s="43"/>
      <c r="C1058" s="463"/>
      <c r="D1058" s="43"/>
      <c r="E1058" s="518"/>
      <c r="F1058" s="284"/>
      <c r="G1058" s="203"/>
      <c r="H1058" s="285"/>
      <c r="I1058" s="222"/>
      <c r="J1058" s="167"/>
      <c r="K1058" s="167"/>
      <c r="L1058" s="300"/>
    </row>
    <row r="1059" spans="1:12" ht="15" x14ac:dyDescent="0.25">
      <c r="A1059" s="476"/>
      <c r="B1059" s="43"/>
      <c r="C1059" s="403"/>
      <c r="D1059" s="43"/>
      <c r="E1059" s="520" t="s">
        <v>251</v>
      </c>
      <c r="F1059" s="358"/>
      <c r="G1059" s="307"/>
      <c r="H1059" s="446"/>
      <c r="I1059" s="361" t="s">
        <v>954</v>
      </c>
      <c r="J1059" s="71"/>
      <c r="K1059" s="71"/>
      <c r="L1059" s="233"/>
    </row>
    <row r="1060" spans="1:12" ht="15" x14ac:dyDescent="0.2">
      <c r="A1060" s="476"/>
      <c r="B1060" s="43"/>
      <c r="C1060" s="403"/>
      <c r="D1060" s="43"/>
      <c r="E1060" s="518"/>
      <c r="F1060" s="284" t="s">
        <v>985</v>
      </c>
      <c r="G1060" s="41"/>
      <c r="H1060" s="285" t="s">
        <v>570</v>
      </c>
      <c r="I1060" s="194" t="s">
        <v>21</v>
      </c>
      <c r="J1060" s="204">
        <v>6000000</v>
      </c>
      <c r="K1060" s="46"/>
      <c r="L1060" s="46">
        <f>SUM(J1060+K1060)</f>
        <v>6000000</v>
      </c>
    </row>
    <row r="1061" spans="1:12" ht="15" x14ac:dyDescent="0.2">
      <c r="A1061" s="476"/>
      <c r="B1061" s="43"/>
      <c r="C1061" s="403"/>
      <c r="D1061" s="43"/>
      <c r="E1061" s="518"/>
      <c r="F1061" s="284"/>
      <c r="G1061" s="41"/>
      <c r="H1061" s="285"/>
      <c r="I1061" s="208" t="s">
        <v>710</v>
      </c>
      <c r="J1061" s="52">
        <f>SUM(J1060)</f>
        <v>6000000</v>
      </c>
      <c r="K1061" s="52"/>
      <c r="L1061" s="52">
        <f>SUM(L1060)</f>
        <v>6000000</v>
      </c>
    </row>
    <row r="1062" spans="1:12" ht="15" x14ac:dyDescent="0.2">
      <c r="A1062" s="476"/>
      <c r="B1062" s="43"/>
      <c r="C1062" s="403"/>
      <c r="D1062" s="43"/>
      <c r="E1062" s="518"/>
      <c r="F1062" s="284"/>
      <c r="G1062" s="47" t="s">
        <v>37</v>
      </c>
      <c r="H1062" s="285"/>
      <c r="I1062" s="194" t="s">
        <v>38</v>
      </c>
      <c r="J1062" s="46">
        <f>SUM(J1061)</f>
        <v>6000000</v>
      </c>
      <c r="K1062" s="46"/>
      <c r="L1062" s="46">
        <f>SUM(J1062+K1062)</f>
        <v>6000000</v>
      </c>
    </row>
    <row r="1063" spans="1:12" ht="15" x14ac:dyDescent="0.2">
      <c r="A1063" s="476"/>
      <c r="B1063" s="43"/>
      <c r="C1063" s="403"/>
      <c r="D1063" s="43"/>
      <c r="E1063" s="518"/>
      <c r="F1063" s="284"/>
      <c r="G1063" s="47"/>
      <c r="H1063" s="285"/>
      <c r="I1063" s="191"/>
      <c r="J1063" s="223"/>
      <c r="K1063" s="223"/>
      <c r="L1063" s="224"/>
    </row>
    <row r="1064" spans="1:12" ht="15" x14ac:dyDescent="0.2">
      <c r="A1064" s="476"/>
      <c r="B1064" s="43"/>
      <c r="C1064" s="403"/>
      <c r="D1064" s="43"/>
      <c r="E1064" s="518"/>
      <c r="F1064" s="284"/>
      <c r="G1064" s="47"/>
      <c r="H1064" s="285"/>
      <c r="I1064" s="191"/>
      <c r="J1064" s="223"/>
      <c r="K1064" s="223"/>
      <c r="L1064" s="224"/>
    </row>
    <row r="1065" spans="1:12" ht="15" x14ac:dyDescent="0.25">
      <c r="A1065" s="476"/>
      <c r="B1065" s="43"/>
      <c r="C1065" s="403"/>
      <c r="D1065" s="43"/>
      <c r="E1065" s="520" t="s">
        <v>251</v>
      </c>
      <c r="F1065" s="358"/>
      <c r="G1065" s="307"/>
      <c r="H1065" s="446"/>
      <c r="I1065" s="361" t="s">
        <v>1063</v>
      </c>
      <c r="J1065" s="71"/>
      <c r="K1065" s="71"/>
      <c r="L1065" s="233"/>
    </row>
    <row r="1066" spans="1:12" ht="15" x14ac:dyDescent="0.2">
      <c r="A1066" s="476"/>
      <c r="B1066" s="43"/>
      <c r="C1066" s="403"/>
      <c r="D1066" s="43"/>
      <c r="E1066" s="518"/>
      <c r="F1066" s="284" t="s">
        <v>1062</v>
      </c>
      <c r="G1066" s="41"/>
      <c r="H1066" s="285" t="s">
        <v>570</v>
      </c>
      <c r="I1066" s="194" t="s">
        <v>21</v>
      </c>
      <c r="J1066" s="1024">
        <v>2</v>
      </c>
      <c r="K1066" s="1025"/>
      <c r="L1066" s="1025">
        <f>SUM(J1066+K1066)</f>
        <v>2</v>
      </c>
    </row>
    <row r="1067" spans="1:12" ht="15" x14ac:dyDescent="0.2">
      <c r="A1067" s="476"/>
      <c r="B1067" s="43"/>
      <c r="C1067" s="403"/>
      <c r="D1067" s="43"/>
      <c r="E1067" s="518"/>
      <c r="F1067" s="284"/>
      <c r="G1067" s="41"/>
      <c r="H1067" s="285"/>
      <c r="I1067" s="208" t="s">
        <v>710</v>
      </c>
      <c r="J1067" s="1026">
        <f>SUM(J1066)</f>
        <v>2</v>
      </c>
      <c r="K1067" s="1026"/>
      <c r="L1067" s="1026">
        <f>SUM(L1066)</f>
        <v>2</v>
      </c>
    </row>
    <row r="1068" spans="1:12" ht="15" x14ac:dyDescent="0.2">
      <c r="A1068" s="476"/>
      <c r="B1068" s="43"/>
      <c r="C1068" s="403"/>
      <c r="D1068" s="43"/>
      <c r="E1068" s="518"/>
      <c r="F1068" s="284"/>
      <c r="G1068" s="47" t="s">
        <v>37</v>
      </c>
      <c r="H1068" s="285"/>
      <c r="I1068" s="194" t="s">
        <v>38</v>
      </c>
      <c r="J1068" s="1025">
        <f>SUM(J1069)</f>
        <v>1</v>
      </c>
      <c r="K1068" s="1025"/>
      <c r="L1068" s="1025">
        <f>SUM(J1068+K1068)</f>
        <v>1</v>
      </c>
    </row>
    <row r="1069" spans="1:12" ht="15" x14ac:dyDescent="0.2">
      <c r="A1069" s="476"/>
      <c r="B1069" s="43"/>
      <c r="C1069" s="403"/>
      <c r="D1069" s="43"/>
      <c r="E1069" s="518"/>
      <c r="F1069" s="284"/>
      <c r="G1069" s="47" t="s">
        <v>113</v>
      </c>
      <c r="H1069" s="285"/>
      <c r="I1069" s="194" t="s">
        <v>280</v>
      </c>
      <c r="J1069" s="1025">
        <v>1</v>
      </c>
      <c r="K1069" s="1025"/>
      <c r="L1069" s="1025">
        <f>SUM(J1069+K1069)</f>
        <v>1</v>
      </c>
    </row>
    <row r="1070" spans="1:12" ht="15" x14ac:dyDescent="0.2">
      <c r="A1070" s="476"/>
      <c r="B1070" s="43"/>
      <c r="C1070" s="403"/>
      <c r="D1070" s="43"/>
      <c r="E1070" s="518"/>
      <c r="F1070" s="284"/>
      <c r="G1070" s="47"/>
      <c r="H1070" s="285"/>
      <c r="I1070" s="191"/>
      <c r="J1070" s="223"/>
      <c r="K1070" s="223"/>
      <c r="L1070" s="224"/>
    </row>
    <row r="1071" spans="1:12" ht="15" x14ac:dyDescent="0.25">
      <c r="A1071" s="476"/>
      <c r="B1071" s="43"/>
      <c r="C1071" s="403"/>
      <c r="D1071" s="43"/>
      <c r="E1071" s="520" t="s">
        <v>251</v>
      </c>
      <c r="F1071" s="358"/>
      <c r="G1071" s="307"/>
      <c r="H1071" s="446"/>
      <c r="I1071" s="361" t="s">
        <v>859</v>
      </c>
      <c r="J1071" s="71"/>
      <c r="K1071" s="71"/>
      <c r="L1071" s="233"/>
    </row>
    <row r="1072" spans="1:12" ht="15" x14ac:dyDescent="0.2">
      <c r="A1072" s="476"/>
      <c r="B1072" s="43"/>
      <c r="C1072" s="403"/>
      <c r="D1072" s="43"/>
      <c r="E1072" s="518"/>
      <c r="F1072" s="284">
        <v>192</v>
      </c>
      <c r="G1072" s="41"/>
      <c r="H1072" s="285" t="s">
        <v>46</v>
      </c>
      <c r="I1072" s="194" t="s">
        <v>860</v>
      </c>
      <c r="J1072" s="204">
        <v>3500000</v>
      </c>
      <c r="K1072" s="46"/>
      <c r="L1072" s="46">
        <f>SUM(J1072+K1072)</f>
        <v>3500000</v>
      </c>
    </row>
    <row r="1073" spans="1:12" ht="15" x14ac:dyDescent="0.2">
      <c r="A1073" s="476"/>
      <c r="B1073" s="43"/>
      <c r="C1073" s="403"/>
      <c r="D1073" s="476"/>
      <c r="E1073" s="518"/>
      <c r="F1073" s="284"/>
      <c r="G1073" s="41"/>
      <c r="H1073" s="285"/>
      <c r="I1073" s="208" t="s">
        <v>710</v>
      </c>
      <c r="J1073" s="52">
        <f>SUM(J1072)</f>
        <v>3500000</v>
      </c>
      <c r="K1073" s="52"/>
      <c r="L1073" s="52">
        <f>SUM(L1072)</f>
        <v>3500000</v>
      </c>
    </row>
    <row r="1074" spans="1:12" ht="15" x14ac:dyDescent="0.2">
      <c r="A1074" s="476"/>
      <c r="B1074" s="43"/>
      <c r="C1074" s="403"/>
      <c r="D1074" s="476"/>
      <c r="E1074" s="518"/>
      <c r="F1074" s="284"/>
      <c r="G1074" s="47" t="s">
        <v>37</v>
      </c>
      <c r="H1074" s="285"/>
      <c r="I1074" s="194" t="s">
        <v>38</v>
      </c>
      <c r="J1074" s="46">
        <f>SUM(J1073-J1075)</f>
        <v>2015001.62</v>
      </c>
      <c r="K1074" s="46"/>
      <c r="L1074" s="46">
        <f>SUM(J1074+K1074)</f>
        <v>2015001.62</v>
      </c>
    </row>
    <row r="1075" spans="1:12" ht="15" x14ac:dyDescent="0.2">
      <c r="A1075" s="476"/>
      <c r="B1075" s="43"/>
      <c r="C1075" s="403"/>
      <c r="D1075" s="476"/>
      <c r="E1075" s="518"/>
      <c r="F1075" s="284"/>
      <c r="G1075" s="47" t="s">
        <v>113</v>
      </c>
      <c r="H1075" s="285"/>
      <c r="I1075" s="194" t="s">
        <v>280</v>
      </c>
      <c r="J1075" s="46">
        <v>1484998.38</v>
      </c>
      <c r="K1075" s="46"/>
      <c r="L1075" s="46">
        <f>SUM(J1075+K1075)</f>
        <v>1484998.38</v>
      </c>
    </row>
    <row r="1076" spans="1:12" ht="15" x14ac:dyDescent="0.2">
      <c r="A1076" s="476"/>
      <c r="B1076" s="43"/>
      <c r="C1076" s="403"/>
      <c r="D1076" s="43"/>
      <c r="E1076" s="518"/>
      <c r="F1076" s="284"/>
      <c r="G1076" s="41"/>
      <c r="H1076" s="286"/>
      <c r="I1076" s="24"/>
      <c r="J1076" s="167"/>
      <c r="K1076" s="167"/>
      <c r="L1076" s="300"/>
    </row>
    <row r="1077" spans="1:12" ht="15" x14ac:dyDescent="0.25">
      <c r="A1077" s="476"/>
      <c r="B1077" s="43"/>
      <c r="C1077" s="403"/>
      <c r="D1077" s="43"/>
      <c r="E1077" s="520" t="s">
        <v>251</v>
      </c>
      <c r="F1077" s="358"/>
      <c r="G1077" s="307"/>
      <c r="H1077" s="431"/>
      <c r="I1077" s="361" t="s">
        <v>858</v>
      </c>
      <c r="J1077" s="345"/>
      <c r="K1077" s="71"/>
      <c r="L1077" s="233"/>
    </row>
    <row r="1078" spans="1:12" ht="15" x14ac:dyDescent="0.2">
      <c r="A1078" s="476"/>
      <c r="B1078" s="43"/>
      <c r="C1078" s="403"/>
      <c r="D1078" s="43"/>
      <c r="E1078" s="518"/>
      <c r="F1078" s="284">
        <v>193</v>
      </c>
      <c r="G1078" s="41"/>
      <c r="H1078" s="285" t="s">
        <v>46</v>
      </c>
      <c r="I1078" s="194" t="s">
        <v>469</v>
      </c>
      <c r="J1078" s="204">
        <v>4700000</v>
      </c>
      <c r="K1078" s="46"/>
      <c r="L1078" s="46">
        <f>SUM(J1078+K1078)</f>
        <v>4700000</v>
      </c>
    </row>
    <row r="1079" spans="1:12" ht="15" x14ac:dyDescent="0.2">
      <c r="A1079" s="476"/>
      <c r="B1079" s="43"/>
      <c r="C1079" s="403"/>
      <c r="D1079" s="476"/>
      <c r="E1079" s="518"/>
      <c r="F1079" s="284"/>
      <c r="G1079" s="41"/>
      <c r="H1079" s="285"/>
      <c r="I1079" s="208" t="s">
        <v>710</v>
      </c>
      <c r="J1079" s="174">
        <f>SUM(J1078)</f>
        <v>4700000</v>
      </c>
      <c r="K1079" s="52"/>
      <c r="L1079" s="52">
        <f>SUM(L1078)</f>
        <v>4700000</v>
      </c>
    </row>
    <row r="1080" spans="1:12" ht="15" x14ac:dyDescent="0.25">
      <c r="A1080" s="476"/>
      <c r="B1080" s="43"/>
      <c r="C1080" s="403"/>
      <c r="D1080" s="476"/>
      <c r="E1080" s="518"/>
      <c r="F1080" s="284"/>
      <c r="G1080" s="47" t="s">
        <v>37</v>
      </c>
      <c r="H1080" s="288"/>
      <c r="I1080" s="194" t="s">
        <v>38</v>
      </c>
      <c r="J1080" s="46">
        <f>SUM(J1079-J1081)</f>
        <v>470000</v>
      </c>
      <c r="K1080" s="46"/>
      <c r="L1080" s="46">
        <f>SUM(J1080+K1080)</f>
        <v>470000</v>
      </c>
    </row>
    <row r="1081" spans="1:12" ht="15" x14ac:dyDescent="0.25">
      <c r="A1081" s="476"/>
      <c r="B1081" s="43"/>
      <c r="C1081" s="403"/>
      <c r="D1081" s="476"/>
      <c r="E1081" s="518"/>
      <c r="F1081" s="284"/>
      <c r="G1081" s="47" t="s">
        <v>113</v>
      </c>
      <c r="H1081" s="288"/>
      <c r="I1081" s="194" t="s">
        <v>280</v>
      </c>
      <c r="J1081" s="46">
        <v>4230000</v>
      </c>
      <c r="K1081" s="46"/>
      <c r="L1081" s="46">
        <f>SUM(J1081+K1081)</f>
        <v>4230000</v>
      </c>
    </row>
    <row r="1082" spans="1:12" ht="15" x14ac:dyDescent="0.2">
      <c r="A1082" s="476"/>
      <c r="B1082" s="43"/>
      <c r="C1082" s="403"/>
      <c r="D1082" s="476"/>
      <c r="E1082" s="518"/>
      <c r="F1082" s="284"/>
      <c r="G1082" s="41"/>
      <c r="H1082" s="285"/>
      <c r="I1082" s="24"/>
      <c r="J1082" s="167"/>
      <c r="K1082" s="167"/>
      <c r="L1082" s="300"/>
    </row>
    <row r="1083" spans="1:12" ht="22.5" x14ac:dyDescent="0.25">
      <c r="A1083" s="476"/>
      <c r="B1083" s="43"/>
      <c r="C1083" s="403"/>
      <c r="D1083" s="476"/>
      <c r="E1083" s="520" t="s">
        <v>251</v>
      </c>
      <c r="F1083" s="358"/>
      <c r="G1083" s="307"/>
      <c r="H1083" s="431"/>
      <c r="I1083" s="362" t="s">
        <v>857</v>
      </c>
      <c r="J1083" s="71"/>
      <c r="K1083" s="71"/>
      <c r="L1083" s="233"/>
    </row>
    <row r="1084" spans="1:12" ht="15" x14ac:dyDescent="0.2">
      <c r="A1084" s="476"/>
      <c r="B1084" s="43"/>
      <c r="C1084" s="403"/>
      <c r="D1084" s="476"/>
      <c r="E1084" s="518"/>
      <c r="F1084" s="284">
        <v>194</v>
      </c>
      <c r="G1084" s="41"/>
      <c r="H1084" s="285" t="s">
        <v>46</v>
      </c>
      <c r="I1084" s="194" t="s">
        <v>10</v>
      </c>
      <c r="J1084" s="195">
        <v>120000</v>
      </c>
      <c r="K1084" s="195"/>
      <c r="L1084" s="195">
        <f>SUM(J1084:K1084)</f>
        <v>120000</v>
      </c>
    </row>
    <row r="1085" spans="1:12" ht="15" x14ac:dyDescent="0.2">
      <c r="A1085" s="476"/>
      <c r="B1085" s="43"/>
      <c r="C1085" s="403"/>
      <c r="D1085" s="476"/>
      <c r="E1085" s="518"/>
      <c r="F1085" s="284">
        <v>195</v>
      </c>
      <c r="G1085" s="41"/>
      <c r="H1085" s="285" t="s">
        <v>570</v>
      </c>
      <c r="I1085" s="194" t="s">
        <v>51</v>
      </c>
      <c r="J1085" s="195">
        <v>6000000</v>
      </c>
      <c r="K1085" s="51"/>
      <c r="L1085" s="51">
        <f>SUM(J1085+K1085)</f>
        <v>6000000</v>
      </c>
    </row>
    <row r="1086" spans="1:12" ht="15" x14ac:dyDescent="0.2">
      <c r="A1086" s="476"/>
      <c r="B1086" s="43"/>
      <c r="C1086" s="403"/>
      <c r="D1086" s="476"/>
      <c r="E1086" s="521"/>
      <c r="F1086" s="406"/>
      <c r="G1086" s="203"/>
      <c r="H1086" s="313"/>
      <c r="I1086" s="775" t="s">
        <v>704</v>
      </c>
      <c r="J1086" s="225">
        <f>SUM(J1084:J1085)</f>
        <v>6120000</v>
      </c>
      <c r="K1086" s="52"/>
      <c r="L1086" s="52">
        <f>SUM(L1084:L1085)</f>
        <v>6120000</v>
      </c>
    </row>
    <row r="1087" spans="1:12" ht="15" x14ac:dyDescent="0.2">
      <c r="A1087" s="476"/>
      <c r="B1087" s="43"/>
      <c r="C1087" s="403"/>
      <c r="D1087" s="476"/>
      <c r="E1087" s="518"/>
      <c r="F1087" s="284"/>
      <c r="G1087" s="47" t="s">
        <v>37</v>
      </c>
      <c r="H1087" s="286"/>
      <c r="I1087" s="194" t="s">
        <v>38</v>
      </c>
      <c r="J1087" s="51">
        <f>SUM(J1086-J1088)</f>
        <v>6119000</v>
      </c>
      <c r="K1087" s="51"/>
      <c r="L1087" s="51">
        <f>SUM(J1087+K1087)</f>
        <v>6119000</v>
      </c>
    </row>
    <row r="1088" spans="1:12" ht="15" x14ac:dyDescent="0.2">
      <c r="A1088" s="476"/>
      <c r="B1088" s="43"/>
      <c r="C1088" s="403"/>
      <c r="D1088" s="476"/>
      <c r="E1088" s="518"/>
      <c r="F1088" s="284"/>
      <c r="G1088" s="47" t="s">
        <v>113</v>
      </c>
      <c r="H1088" s="285"/>
      <c r="I1088" s="194" t="s">
        <v>280</v>
      </c>
      <c r="J1088" s="51">
        <v>1000</v>
      </c>
      <c r="K1088" s="51"/>
      <c r="L1088" s="51">
        <f>SUM(J1088+K1088)</f>
        <v>1000</v>
      </c>
    </row>
    <row r="1089" spans="1:14" x14ac:dyDescent="0.2">
      <c r="B1089" s="43"/>
      <c r="C1089" s="463"/>
      <c r="D1089" s="463"/>
      <c r="E1089" s="523"/>
      <c r="F1089" s="284"/>
      <c r="G1089" s="203"/>
      <c r="H1089" s="286"/>
      <c r="I1089" s="222"/>
      <c r="J1089" s="27"/>
      <c r="K1089" s="27"/>
      <c r="L1089" s="53"/>
    </row>
    <row r="1090" spans="1:14" x14ac:dyDescent="0.2">
      <c r="B1090" s="43"/>
      <c r="C1090" s="43">
        <v>620</v>
      </c>
      <c r="D1090" s="477"/>
      <c r="E1090" s="518"/>
      <c r="F1090" s="284"/>
      <c r="G1090" s="41"/>
      <c r="H1090" s="433"/>
      <c r="I1090" s="260" t="s">
        <v>105</v>
      </c>
      <c r="J1090" s="299"/>
      <c r="K1090" s="299"/>
      <c r="L1090" s="49"/>
    </row>
    <row r="1091" spans="1:14" ht="15" x14ac:dyDescent="0.25">
      <c r="B1091" s="43"/>
      <c r="D1091" s="477"/>
      <c r="E1091" s="518"/>
      <c r="F1091" s="284"/>
      <c r="G1091" s="41"/>
      <c r="H1091" s="288"/>
      <c r="I1091" s="206"/>
      <c r="J1091" s="27"/>
      <c r="K1091" s="27"/>
      <c r="L1091" s="53"/>
      <c r="M1091" s="1002"/>
    </row>
    <row r="1092" spans="1:14" ht="15" x14ac:dyDescent="0.25">
      <c r="B1092" s="43"/>
      <c r="D1092" s="476"/>
      <c r="E1092" s="519"/>
      <c r="F1092" s="404"/>
      <c r="G1092" s="302"/>
      <c r="H1092" s="434"/>
      <c r="I1092" s="363" t="s">
        <v>237</v>
      </c>
      <c r="J1092" s="364"/>
      <c r="K1092" s="455"/>
      <c r="L1092" s="304"/>
    </row>
    <row r="1093" spans="1:14" ht="15" x14ac:dyDescent="0.25">
      <c r="A1093" s="648"/>
      <c r="B1093" s="583"/>
      <c r="D1093" s="476"/>
      <c r="E1093" s="519" t="s">
        <v>252</v>
      </c>
      <c r="F1093" s="404"/>
      <c r="G1093" s="302"/>
      <c r="H1093" s="434"/>
      <c r="I1093" s="365" t="s">
        <v>636</v>
      </c>
      <c r="J1093" s="366"/>
      <c r="K1093" s="447"/>
      <c r="L1093" s="367"/>
    </row>
    <row r="1094" spans="1:14" x14ac:dyDescent="0.2">
      <c r="B1094" s="43"/>
      <c r="D1094" s="476"/>
      <c r="E1094" s="518"/>
      <c r="F1094" s="284"/>
      <c r="G1094" s="294"/>
      <c r="H1094" s="285"/>
      <c r="I1094" s="239"/>
      <c r="J1094" s="28"/>
      <c r="K1094" s="27"/>
      <c r="L1094" s="53"/>
    </row>
    <row r="1095" spans="1:14" x14ac:dyDescent="0.2">
      <c r="B1095" s="43"/>
      <c r="D1095" s="476"/>
      <c r="E1095" s="518"/>
      <c r="F1095" s="284">
        <v>196</v>
      </c>
      <c r="G1095" s="41"/>
      <c r="H1095" s="284">
        <v>424</v>
      </c>
      <c r="I1095" s="243" t="s">
        <v>655</v>
      </c>
      <c r="J1095" s="51">
        <v>177197984</v>
      </c>
      <c r="K1095" s="51"/>
      <c r="L1095" s="51">
        <f>SUM(J1095+K1095)</f>
        <v>177197984</v>
      </c>
    </row>
    <row r="1096" spans="1:14" x14ac:dyDescent="0.2">
      <c r="B1096" s="43"/>
      <c r="D1096" s="476"/>
      <c r="E1096" s="518"/>
      <c r="F1096" s="284">
        <v>197</v>
      </c>
      <c r="G1096" s="41"/>
      <c r="H1096" s="284">
        <v>451</v>
      </c>
      <c r="I1096" s="240" t="s">
        <v>658</v>
      </c>
      <c r="J1096" s="51">
        <v>13845000</v>
      </c>
      <c r="K1096" s="51"/>
      <c r="L1096" s="51">
        <f>SUM(J1096+K1096)</f>
        <v>13845000</v>
      </c>
    </row>
    <row r="1097" spans="1:14" x14ac:dyDescent="0.2">
      <c r="B1097" s="43"/>
      <c r="D1097" s="476"/>
      <c r="E1097" s="518"/>
      <c r="F1097" s="284"/>
      <c r="G1097" s="47" t="s">
        <v>37</v>
      </c>
      <c r="H1097" s="286"/>
      <c r="I1097" s="194" t="s">
        <v>38</v>
      </c>
      <c r="J1097" s="51">
        <f>SUM(J1095:J1096)</f>
        <v>191042984</v>
      </c>
      <c r="K1097" s="52"/>
      <c r="L1097" s="51">
        <f>SUM(J1097+K1097)</f>
        <v>191042984</v>
      </c>
    </row>
    <row r="1098" spans="1:14" x14ac:dyDescent="0.2">
      <c r="B1098" s="43"/>
      <c r="D1098" s="476"/>
      <c r="E1098" s="518"/>
      <c r="F1098" s="284"/>
      <c r="G1098" s="41"/>
      <c r="H1098" s="285"/>
      <c r="I1098" s="202" t="s">
        <v>610</v>
      </c>
      <c r="J1098" s="52">
        <f>SUM(J1097)</f>
        <v>191042984</v>
      </c>
      <c r="K1098" s="52"/>
      <c r="L1098" s="52">
        <f t="shared" ref="L1098" si="57">SUM(L1097)</f>
        <v>191042984</v>
      </c>
    </row>
    <row r="1099" spans="1:14" x14ac:dyDescent="0.2">
      <c r="B1099" s="43"/>
      <c r="C1099" s="463"/>
      <c r="D1099" s="463"/>
      <c r="E1099" s="523"/>
      <c r="F1099" s="284"/>
      <c r="G1099" s="203"/>
      <c r="H1099" s="285"/>
      <c r="I1099" s="222"/>
      <c r="J1099" s="27"/>
      <c r="K1099" s="27"/>
      <c r="L1099" s="53"/>
    </row>
    <row r="1100" spans="1:14" x14ac:dyDescent="0.2">
      <c r="B1100" s="43"/>
      <c r="C1100" s="43">
        <v>620</v>
      </c>
      <c r="D1100" s="477"/>
      <c r="E1100" s="518"/>
      <c r="F1100" s="284"/>
      <c r="G1100" s="41"/>
      <c r="H1100" s="285"/>
      <c r="I1100" s="260" t="s">
        <v>105</v>
      </c>
      <c r="J1100" s="299"/>
      <c r="K1100" s="299"/>
      <c r="L1100" s="49"/>
    </row>
    <row r="1101" spans="1:14" x14ac:dyDescent="0.2">
      <c r="B1101" s="43"/>
      <c r="D1101" s="477"/>
      <c r="E1101" s="518"/>
      <c r="F1101" s="284"/>
      <c r="G1101" s="41"/>
      <c r="H1101" s="285"/>
      <c r="I1101" s="206"/>
      <c r="J1101" s="27"/>
      <c r="K1101" s="27"/>
      <c r="L1101" s="53"/>
    </row>
    <row r="1102" spans="1:14" ht="23.25" customHeight="1" x14ac:dyDescent="0.2">
      <c r="B1102" s="43"/>
      <c r="D1102" s="645"/>
      <c r="E1102" s="872" t="s">
        <v>251</v>
      </c>
      <c r="F1102" s="873"/>
      <c r="G1102" s="874"/>
      <c r="H1102" s="875"/>
      <c r="I1102" s="876" t="s">
        <v>856</v>
      </c>
      <c r="J1102" s="877"/>
      <c r="K1102" s="877"/>
      <c r="L1102" s="878"/>
    </row>
    <row r="1103" spans="1:14" ht="23.25" customHeight="1" x14ac:dyDescent="0.2">
      <c r="B1103" s="43"/>
      <c r="D1103" s="645"/>
      <c r="E1103" s="879"/>
      <c r="F1103" s="880" t="s">
        <v>984</v>
      </c>
      <c r="G1103" s="881"/>
      <c r="H1103" s="882" t="s">
        <v>46</v>
      </c>
      <c r="I1103" s="883" t="s">
        <v>10</v>
      </c>
      <c r="J1103" s="884">
        <v>400000</v>
      </c>
      <c r="K1103" s="885"/>
      <c r="L1103" s="886">
        <f>SUM(J1103:K1103)</f>
        <v>400000</v>
      </c>
    </row>
    <row r="1104" spans="1:14" x14ac:dyDescent="0.2">
      <c r="B1104" s="43"/>
      <c r="D1104" s="645"/>
      <c r="E1104" s="769"/>
      <c r="F1104" s="770">
        <v>198</v>
      </c>
      <c r="G1104" s="771"/>
      <c r="H1104" s="772" t="s">
        <v>270</v>
      </c>
      <c r="I1104" s="838" t="s">
        <v>20</v>
      </c>
      <c r="J1104" s="188">
        <v>79520000</v>
      </c>
      <c r="K1104" s="188"/>
      <c r="L1104" s="188">
        <f>SUM(J1104:K1104)</f>
        <v>79520000</v>
      </c>
      <c r="N1104" s="845"/>
    </row>
    <row r="1105" spans="2:13" x14ac:dyDescent="0.2">
      <c r="B1105" s="43"/>
      <c r="D1105" s="645"/>
      <c r="E1105" s="769"/>
      <c r="F1105" s="770"/>
      <c r="G1105" s="887" t="s">
        <v>37</v>
      </c>
      <c r="H1105" s="772"/>
      <c r="I1105" s="838" t="s">
        <v>38</v>
      </c>
      <c r="J1105" s="188">
        <f>SUM(J1103:J1104)</f>
        <v>79920000</v>
      </c>
      <c r="K1105" s="188"/>
      <c r="L1105" s="188">
        <f t="shared" ref="L1105" si="58">SUM(L1103:L1104)</f>
        <v>79920000</v>
      </c>
    </row>
    <row r="1106" spans="2:13" ht="15" x14ac:dyDescent="0.25">
      <c r="B1106" s="43"/>
      <c r="D1106" s="476"/>
      <c r="E1106" s="769"/>
      <c r="F1106" s="770"/>
      <c r="G1106" s="771"/>
      <c r="H1106" s="888"/>
      <c r="I1106" s="889" t="s">
        <v>710</v>
      </c>
      <c r="J1106" s="839">
        <f>SUM(J1103:J1104)</f>
        <v>79920000</v>
      </c>
      <c r="K1106" s="839"/>
      <c r="L1106" s="839">
        <f t="shared" ref="L1106" si="59">SUM(L1103:L1104)</f>
        <v>79920000</v>
      </c>
    </row>
    <row r="1107" spans="2:13" ht="15" x14ac:dyDescent="0.25">
      <c r="B1107" s="43"/>
      <c r="D1107" s="476"/>
      <c r="E1107" s="518"/>
      <c r="F1107" s="284"/>
      <c r="G1107" s="41"/>
      <c r="H1107" s="288"/>
      <c r="I1107" s="24"/>
      <c r="J1107" s="198"/>
      <c r="K1107" s="27"/>
      <c r="L1107" s="53"/>
    </row>
    <row r="1108" spans="2:13" ht="22.5" x14ac:dyDescent="0.2">
      <c r="B1108" s="43"/>
      <c r="D1108" s="476"/>
      <c r="E1108" s="520" t="s">
        <v>251</v>
      </c>
      <c r="F1108" s="358"/>
      <c r="G1108" s="307"/>
      <c r="H1108" s="360"/>
      <c r="I1108" s="309" t="s">
        <v>854</v>
      </c>
      <c r="J1108" s="199"/>
      <c r="K1108" s="199"/>
      <c r="L1108" s="200"/>
    </row>
    <row r="1109" spans="2:13" x14ac:dyDescent="0.2">
      <c r="B1109" s="43"/>
      <c r="D1109" s="476"/>
      <c r="E1109" s="518"/>
      <c r="F1109" s="284">
        <v>199</v>
      </c>
      <c r="G1109" s="41"/>
      <c r="H1109" s="285" t="s">
        <v>270</v>
      </c>
      <c r="I1109" s="194" t="s">
        <v>20</v>
      </c>
      <c r="J1109" s="956">
        <v>2</v>
      </c>
      <c r="K1109" s="956"/>
      <c r="L1109" s="956">
        <f>SUM(J1109:K1109)</f>
        <v>2</v>
      </c>
      <c r="M1109" s="991"/>
    </row>
    <row r="1110" spans="2:13" x14ac:dyDescent="0.2">
      <c r="B1110" s="43"/>
      <c r="D1110" s="476"/>
      <c r="E1110" s="518"/>
      <c r="F1110" s="284"/>
      <c r="G1110" s="47" t="s">
        <v>37</v>
      </c>
      <c r="H1110" s="284"/>
      <c r="I1110" s="194" t="s">
        <v>38</v>
      </c>
      <c r="J1110" s="956">
        <v>1</v>
      </c>
      <c r="K1110" s="956"/>
      <c r="L1110" s="956">
        <f t="shared" ref="L1110:L1112" si="60">SUM(J1110:K1110)</f>
        <v>1</v>
      </c>
    </row>
    <row r="1111" spans="2:13" x14ac:dyDescent="0.2">
      <c r="B1111" s="43"/>
      <c r="D1111" s="476"/>
      <c r="E1111" s="518"/>
      <c r="F1111" s="284"/>
      <c r="G1111" s="47" t="s">
        <v>113</v>
      </c>
      <c r="H1111" s="285"/>
      <c r="I1111" s="243" t="s">
        <v>280</v>
      </c>
      <c r="J1111" s="956">
        <v>1</v>
      </c>
      <c r="K1111" s="956"/>
      <c r="L1111" s="956">
        <f t="shared" si="60"/>
        <v>1</v>
      </c>
    </row>
    <row r="1112" spans="2:13" x14ac:dyDescent="0.2">
      <c r="B1112" s="43"/>
      <c r="D1112" s="476"/>
      <c r="E1112" s="518"/>
      <c r="F1112" s="284"/>
      <c r="G1112" s="41"/>
      <c r="H1112" s="285"/>
      <c r="I1112" s="202" t="s">
        <v>710</v>
      </c>
      <c r="J1112" s="957">
        <f>SUM(J1109:J1109)</f>
        <v>2</v>
      </c>
      <c r="K1112" s="957"/>
      <c r="L1112" s="957">
        <f t="shared" si="60"/>
        <v>2</v>
      </c>
    </row>
    <row r="1113" spans="2:13" x14ac:dyDescent="0.2">
      <c r="B1113" s="43"/>
      <c r="D1113" s="476"/>
      <c r="E1113" s="518"/>
      <c r="F1113" s="284"/>
      <c r="G1113" s="41"/>
      <c r="H1113" s="285"/>
      <c r="I1113" s="649"/>
      <c r="J1113" s="71"/>
      <c r="K1113" s="71"/>
      <c r="L1113" s="233"/>
    </row>
    <row r="1114" spans="2:13" ht="22.5" x14ac:dyDescent="0.2">
      <c r="B1114" s="43"/>
      <c r="D1114" s="476"/>
      <c r="E1114" s="520" t="s">
        <v>251</v>
      </c>
      <c r="F1114" s="358"/>
      <c r="G1114" s="307"/>
      <c r="H1114" s="360"/>
      <c r="I1114" s="312" t="s">
        <v>853</v>
      </c>
      <c r="J1114" s="71"/>
      <c r="K1114" s="71"/>
      <c r="L1114" s="233"/>
    </row>
    <row r="1115" spans="2:13" x14ac:dyDescent="0.2">
      <c r="B1115" s="43"/>
      <c r="D1115" s="476"/>
      <c r="E1115" s="518"/>
      <c r="F1115" s="284">
        <v>200</v>
      </c>
      <c r="G1115" s="41"/>
      <c r="H1115" s="284">
        <v>511</v>
      </c>
      <c r="I1115" s="262" t="s">
        <v>20</v>
      </c>
      <c r="J1115" s="51">
        <v>3591606.84</v>
      </c>
      <c r="K1115" s="52"/>
      <c r="L1115" s="51">
        <f>SUM(J1115:K1115)</f>
        <v>3591606.84</v>
      </c>
    </row>
    <row r="1116" spans="2:13" x14ac:dyDescent="0.2">
      <c r="B1116" s="43"/>
      <c r="D1116" s="476"/>
      <c r="E1116" s="518"/>
      <c r="F1116" s="284"/>
      <c r="G1116" s="47" t="s">
        <v>37</v>
      </c>
      <c r="H1116" s="432"/>
      <c r="I1116" s="262" t="s">
        <v>38</v>
      </c>
      <c r="J1116" s="51">
        <f>SUM(J1115:J1115)</f>
        <v>3591606.84</v>
      </c>
      <c r="K1116" s="52"/>
      <c r="L1116" s="51">
        <f>SUM(J1116+K1116)</f>
        <v>3591606.84</v>
      </c>
    </row>
    <row r="1117" spans="2:13" ht="15" x14ac:dyDescent="0.25">
      <c r="B1117" s="43"/>
      <c r="D1117" s="476"/>
      <c r="E1117" s="518"/>
      <c r="F1117" s="284"/>
      <c r="G1117" s="41"/>
      <c r="H1117" s="298"/>
      <c r="I1117" s="202" t="s">
        <v>710</v>
      </c>
      <c r="J1117" s="52">
        <f>SUM(J1116)</f>
        <v>3591606.84</v>
      </c>
      <c r="K1117" s="52"/>
      <c r="L1117" s="52">
        <f>SUM(J1117+K1117)</f>
        <v>3591606.84</v>
      </c>
    </row>
    <row r="1118" spans="2:13" x14ac:dyDescent="0.2">
      <c r="B1118" s="43"/>
      <c r="D1118" s="476"/>
      <c r="E1118" s="518"/>
      <c r="F1118" s="284"/>
      <c r="G1118" s="41"/>
      <c r="H1118" s="285"/>
      <c r="I1118" s="17"/>
      <c r="J1118" s="27"/>
      <c r="K1118" s="27"/>
      <c r="L1118" s="53"/>
    </row>
    <row r="1119" spans="2:13" ht="22.5" x14ac:dyDescent="0.2">
      <c r="B1119" s="43"/>
      <c r="D1119" s="476"/>
      <c r="E1119" s="520" t="s">
        <v>251</v>
      </c>
      <c r="F1119" s="358"/>
      <c r="G1119" s="307"/>
      <c r="H1119" s="360"/>
      <c r="I1119" s="312" t="s">
        <v>855</v>
      </c>
      <c r="J1119" s="71"/>
      <c r="K1119" s="71"/>
      <c r="L1119" s="233"/>
    </row>
    <row r="1120" spans="2:13" x14ac:dyDescent="0.2">
      <c r="B1120" s="43"/>
      <c r="D1120" s="476"/>
      <c r="E1120" s="518"/>
      <c r="F1120" s="284">
        <v>201</v>
      </c>
      <c r="G1120" s="41"/>
      <c r="H1120" s="285" t="s">
        <v>270</v>
      </c>
      <c r="I1120" s="262" t="s">
        <v>20</v>
      </c>
      <c r="J1120" s="51">
        <v>10200000</v>
      </c>
      <c r="K1120" s="52"/>
      <c r="L1120" s="51">
        <f>SUM(J1120:K1120)</f>
        <v>10200000</v>
      </c>
    </row>
    <row r="1121" spans="1:14" x14ac:dyDescent="0.2">
      <c r="B1121" s="43"/>
      <c r="D1121" s="476"/>
      <c r="E1121" s="518"/>
      <c r="F1121" s="284"/>
      <c r="G1121" s="47" t="s">
        <v>37</v>
      </c>
      <c r="H1121" s="285"/>
      <c r="I1121" s="262" t="s">
        <v>38</v>
      </c>
      <c r="J1121" s="51">
        <f>SUM(J1120:J1120)</f>
        <v>10200000</v>
      </c>
      <c r="K1121" s="52"/>
      <c r="L1121" s="51">
        <f>SUM(J1121+K1121)</f>
        <v>10200000</v>
      </c>
    </row>
    <row r="1122" spans="1:14" ht="15" x14ac:dyDescent="0.25">
      <c r="B1122" s="43"/>
      <c r="D1122" s="476"/>
      <c r="E1122" s="518"/>
      <c r="F1122" s="284"/>
      <c r="G1122" s="41"/>
      <c r="H1122" s="288"/>
      <c r="I1122" s="202" t="s">
        <v>710</v>
      </c>
      <c r="J1122" s="52">
        <f>SUM(J1121)</f>
        <v>10200000</v>
      </c>
      <c r="K1122" s="52"/>
      <c r="L1122" s="52">
        <f>SUM(J1122+K1122)</f>
        <v>10200000</v>
      </c>
    </row>
    <row r="1123" spans="1:14" x14ac:dyDescent="0.2">
      <c r="B1123" s="43"/>
      <c r="D1123" s="476"/>
      <c r="E1123" s="518"/>
      <c r="F1123" s="284"/>
      <c r="G1123" s="41"/>
      <c r="H1123" s="285"/>
      <c r="I1123" s="17"/>
      <c r="J1123" s="27"/>
      <c r="K1123" s="27"/>
      <c r="L1123" s="53"/>
    </row>
    <row r="1124" spans="1:14" ht="33.75" x14ac:dyDescent="0.2">
      <c r="B1124" s="43"/>
      <c r="D1124" s="476"/>
      <c r="E1124" s="520" t="s">
        <v>251</v>
      </c>
      <c r="F1124" s="358"/>
      <c r="G1124" s="307"/>
      <c r="H1124" s="360"/>
      <c r="I1124" s="312" t="s">
        <v>957</v>
      </c>
      <c r="J1124" s="232"/>
      <c r="K1124" s="71"/>
      <c r="L1124" s="233"/>
    </row>
    <row r="1125" spans="1:14" x14ac:dyDescent="0.2">
      <c r="B1125" s="43"/>
      <c r="D1125" s="476"/>
      <c r="E1125" s="518"/>
      <c r="F1125" s="284">
        <v>202</v>
      </c>
      <c r="G1125" s="41"/>
      <c r="H1125" s="285" t="s">
        <v>270</v>
      </c>
      <c r="I1125" s="262" t="s">
        <v>20</v>
      </c>
      <c r="J1125" s="56">
        <v>1000</v>
      </c>
      <c r="K1125" s="52"/>
      <c r="L1125" s="51">
        <f>SUM(J1125:K1125)</f>
        <v>1000</v>
      </c>
      <c r="N1125" s="845"/>
    </row>
    <row r="1126" spans="1:14" x14ac:dyDescent="0.2">
      <c r="B1126" s="43"/>
      <c r="D1126" s="476"/>
      <c r="E1126" s="518"/>
      <c r="F1126" s="284"/>
      <c r="G1126" s="47" t="s">
        <v>37</v>
      </c>
      <c r="H1126" s="285"/>
      <c r="I1126" s="244" t="s">
        <v>38</v>
      </c>
      <c r="J1126" s="201">
        <f>SUM(J1125)</f>
        <v>1000</v>
      </c>
      <c r="K1126" s="52"/>
      <c r="L1126" s="51">
        <f>SUM(J1125:K1125)</f>
        <v>1000</v>
      </c>
    </row>
    <row r="1127" spans="1:14" ht="15" x14ac:dyDescent="0.25">
      <c r="B1127" s="43"/>
      <c r="D1127" s="476"/>
      <c r="E1127" s="518"/>
      <c r="F1127" s="284"/>
      <c r="G1127" s="41"/>
      <c r="H1127" s="288"/>
      <c r="I1127" s="202" t="s">
        <v>710</v>
      </c>
      <c r="J1127" s="48">
        <f>SUM(J1126)</f>
        <v>1000</v>
      </c>
      <c r="K1127" s="52"/>
      <c r="L1127" s="52">
        <f>SUM(L1126)</f>
        <v>1000</v>
      </c>
    </row>
    <row r="1128" spans="1:14" x14ac:dyDescent="0.2">
      <c r="B1128" s="43"/>
      <c r="D1128" s="476"/>
      <c r="E1128" s="518"/>
      <c r="F1128" s="284"/>
      <c r="G1128" s="41"/>
      <c r="H1128" s="285"/>
      <c r="I1128" s="17"/>
      <c r="J1128" s="198"/>
      <c r="K1128" s="27"/>
      <c r="L1128" s="53"/>
    </row>
    <row r="1129" spans="1:14" ht="22.5" customHeight="1" x14ac:dyDescent="0.2">
      <c r="B1129" s="43"/>
      <c r="D1129" s="476"/>
      <c r="E1129" s="520" t="s">
        <v>251</v>
      </c>
      <c r="F1129" s="358"/>
      <c r="G1129" s="307"/>
      <c r="H1129" s="360"/>
      <c r="I1129" s="312" t="s">
        <v>852</v>
      </c>
      <c r="J1129" s="232"/>
      <c r="K1129" s="71"/>
      <c r="L1129" s="233"/>
    </row>
    <row r="1130" spans="1:14" ht="14.25" customHeight="1" x14ac:dyDescent="0.2">
      <c r="B1130" s="43"/>
      <c r="D1130" s="476"/>
      <c r="E1130" s="518"/>
      <c r="F1130" s="284">
        <v>203</v>
      </c>
      <c r="G1130" s="41"/>
      <c r="H1130" s="285" t="s">
        <v>270</v>
      </c>
      <c r="I1130" s="194" t="s">
        <v>20</v>
      </c>
      <c r="J1130" s="989">
        <v>1</v>
      </c>
      <c r="K1130" s="957"/>
      <c r="L1130" s="956">
        <f>SUM(J1130:K1130)</f>
        <v>1</v>
      </c>
      <c r="N1130" s="845"/>
    </row>
    <row r="1131" spans="1:14" ht="22.5" customHeight="1" x14ac:dyDescent="0.2">
      <c r="B1131" s="43"/>
      <c r="D1131" s="476"/>
      <c r="E1131" s="518"/>
      <c r="F1131" s="284"/>
      <c r="G1131" s="47" t="s">
        <v>37</v>
      </c>
      <c r="H1131" s="285"/>
      <c r="I1131" s="194" t="s">
        <v>38</v>
      </c>
      <c r="J1131" s="989">
        <f>SUM(J1130:J1130)</f>
        <v>1</v>
      </c>
      <c r="K1131" s="957"/>
      <c r="L1131" s="956">
        <f>SUM(J1130:K1130)</f>
        <v>1</v>
      </c>
    </row>
    <row r="1132" spans="1:14" ht="24" customHeight="1" x14ac:dyDescent="0.2">
      <c r="B1132" s="43"/>
      <c r="D1132" s="476"/>
      <c r="E1132" s="518"/>
      <c r="F1132" s="284"/>
      <c r="G1132" s="41"/>
      <c r="H1132" s="286"/>
      <c r="I1132" s="202" t="s">
        <v>710</v>
      </c>
      <c r="J1132" s="990">
        <f>SUM(J1131)</f>
        <v>1</v>
      </c>
      <c r="K1132" s="957"/>
      <c r="L1132" s="957">
        <f>SUM(L1131)</f>
        <v>1</v>
      </c>
    </row>
    <row r="1133" spans="1:14" x14ac:dyDescent="0.2">
      <c r="B1133" s="43"/>
      <c r="D1133" s="476"/>
      <c r="E1133" s="518"/>
      <c r="F1133" s="284"/>
      <c r="G1133" s="41"/>
      <c r="H1133" s="286"/>
      <c r="I1133" s="24"/>
      <c r="J1133" s="198"/>
      <c r="K1133" s="27"/>
      <c r="L1133" s="53"/>
    </row>
    <row r="1134" spans="1:14" x14ac:dyDescent="0.2">
      <c r="A1134" s="477"/>
      <c r="B1134" s="43"/>
      <c r="D1134" s="43"/>
      <c r="E1134" s="520" t="s">
        <v>251</v>
      </c>
      <c r="F1134" s="358"/>
      <c r="G1134" s="307"/>
      <c r="H1134" s="360"/>
      <c r="I1134" s="368" t="s">
        <v>851</v>
      </c>
      <c r="J1134" s="234"/>
      <c r="K1134" s="299"/>
      <c r="L1134" s="49"/>
    </row>
    <row r="1135" spans="1:14" x14ac:dyDescent="0.2">
      <c r="B1135" s="43"/>
      <c r="D1135" s="476"/>
      <c r="E1135" s="518"/>
      <c r="F1135" s="284">
        <v>204</v>
      </c>
      <c r="G1135" s="41"/>
      <c r="H1135" s="285" t="s">
        <v>270</v>
      </c>
      <c r="I1135" s="262" t="s">
        <v>20</v>
      </c>
      <c r="J1135" s="989">
        <v>2</v>
      </c>
      <c r="K1135" s="956"/>
      <c r="L1135" s="956">
        <f>SUM(J1135:K1135)</f>
        <v>2</v>
      </c>
    </row>
    <row r="1136" spans="1:14" x14ac:dyDescent="0.2">
      <c r="B1136" s="43"/>
      <c r="D1136" s="476"/>
      <c r="E1136" s="518"/>
      <c r="F1136" s="284"/>
      <c r="G1136" s="47" t="s">
        <v>37</v>
      </c>
      <c r="H1136" s="285"/>
      <c r="I1136" s="262" t="s">
        <v>38</v>
      </c>
      <c r="J1136" s="989">
        <v>1</v>
      </c>
      <c r="K1136" s="957"/>
      <c r="L1136" s="956">
        <f t="shared" ref="L1136:L1137" si="61">SUM(J1136:K1136)</f>
        <v>1</v>
      </c>
      <c r="M1136" s="1018"/>
    </row>
    <row r="1137" spans="2:14" x14ac:dyDescent="0.2">
      <c r="B1137" s="43"/>
      <c r="D1137" s="476"/>
      <c r="E1137" s="518"/>
      <c r="F1137" s="284"/>
      <c r="G1137" s="47" t="s">
        <v>113</v>
      </c>
      <c r="H1137" s="285"/>
      <c r="I1137" s="262" t="s">
        <v>418</v>
      </c>
      <c r="J1137" s="989">
        <v>1</v>
      </c>
      <c r="K1137" s="957"/>
      <c r="L1137" s="956">
        <f t="shared" si="61"/>
        <v>1</v>
      </c>
      <c r="M1137" s="991"/>
    </row>
    <row r="1138" spans="2:14" ht="15" x14ac:dyDescent="0.25">
      <c r="B1138" s="43"/>
      <c r="D1138" s="476"/>
      <c r="E1138" s="518"/>
      <c r="F1138" s="284"/>
      <c r="G1138" s="41"/>
      <c r="H1138" s="288"/>
      <c r="I1138" s="273" t="s">
        <v>710</v>
      </c>
      <c r="J1138" s="990">
        <f>SUM(J1135)</f>
        <v>2</v>
      </c>
      <c r="K1138" s="957"/>
      <c r="L1138" s="957">
        <f>SUM(J1138:K1138)</f>
        <v>2</v>
      </c>
    </row>
    <row r="1139" spans="2:14" x14ac:dyDescent="0.2">
      <c r="B1139" s="43"/>
      <c r="D1139" s="476"/>
      <c r="E1139" s="518"/>
      <c r="F1139" s="284"/>
      <c r="G1139" s="41"/>
      <c r="H1139" s="285"/>
      <c r="I1139" s="24"/>
      <c r="J1139" s="198"/>
      <c r="K1139" s="27"/>
      <c r="L1139" s="53"/>
    </row>
    <row r="1140" spans="2:14" ht="22.5" x14ac:dyDescent="0.2">
      <c r="B1140" s="43"/>
      <c r="D1140" s="476"/>
      <c r="E1140" s="520" t="s">
        <v>251</v>
      </c>
      <c r="F1140" s="358"/>
      <c r="G1140" s="307"/>
      <c r="H1140" s="360"/>
      <c r="I1140" s="368" t="s">
        <v>850</v>
      </c>
      <c r="J1140" s="234"/>
      <c r="K1140" s="299"/>
      <c r="L1140" s="49"/>
    </row>
    <row r="1141" spans="2:14" x14ac:dyDescent="0.2">
      <c r="B1141" s="43"/>
      <c r="D1141" s="476"/>
      <c r="E1141" s="518"/>
      <c r="F1141" s="284">
        <v>205</v>
      </c>
      <c r="G1141" s="41"/>
      <c r="H1141" s="285" t="s">
        <v>46</v>
      </c>
      <c r="I1141" s="194" t="s">
        <v>10</v>
      </c>
      <c r="J1141" s="973">
        <v>4000000</v>
      </c>
      <c r="K1141" s="969"/>
      <c r="L1141" s="963">
        <f>SUM(J1141:K1141)</f>
        <v>4000000</v>
      </c>
    </row>
    <row r="1142" spans="2:14" x14ac:dyDescent="0.2">
      <c r="B1142" s="43"/>
      <c r="D1142" s="476"/>
      <c r="E1142" s="518"/>
      <c r="F1142" s="284"/>
      <c r="G1142" s="47" t="s">
        <v>37</v>
      </c>
      <c r="H1142" s="285"/>
      <c r="I1142" s="194" t="s">
        <v>38</v>
      </c>
      <c r="J1142" s="973">
        <f>SUM(J1141)</f>
        <v>4000000</v>
      </c>
      <c r="K1142" s="969"/>
      <c r="L1142" s="963">
        <f>SUM(J1141:K1141)</f>
        <v>4000000</v>
      </c>
      <c r="M1142" s="1022"/>
    </row>
    <row r="1143" spans="2:14" ht="15" x14ac:dyDescent="0.25">
      <c r="B1143" s="43"/>
      <c r="D1143" s="476"/>
      <c r="E1143" s="518"/>
      <c r="F1143" s="284"/>
      <c r="G1143" s="41"/>
      <c r="H1143" s="288"/>
      <c r="I1143" s="202" t="s">
        <v>710</v>
      </c>
      <c r="J1143" s="978">
        <f>SUM(J1142)</f>
        <v>4000000</v>
      </c>
      <c r="K1143" s="969"/>
      <c r="L1143" s="969">
        <f>SUM(L1142)</f>
        <v>4000000</v>
      </c>
      <c r="N1143" s="1023"/>
    </row>
    <row r="1144" spans="2:14" x14ac:dyDescent="0.2">
      <c r="B1144" s="43"/>
      <c r="D1144" s="476"/>
      <c r="E1144" s="518"/>
      <c r="F1144" s="284"/>
      <c r="G1144" s="41"/>
      <c r="H1144" s="285"/>
      <c r="I1144" s="17"/>
      <c r="J1144" s="198"/>
      <c r="K1144" s="27"/>
      <c r="L1144" s="53"/>
    </row>
    <row r="1145" spans="2:14" ht="22.5" x14ac:dyDescent="0.2">
      <c r="B1145" s="43"/>
      <c r="D1145" s="476"/>
      <c r="E1145" s="520" t="s">
        <v>251</v>
      </c>
      <c r="F1145" s="358"/>
      <c r="G1145" s="307"/>
      <c r="H1145" s="360"/>
      <c r="I1145" s="368" t="s">
        <v>849</v>
      </c>
      <c r="J1145" s="234"/>
      <c r="K1145" s="299"/>
      <c r="L1145" s="49"/>
    </row>
    <row r="1146" spans="2:14" x14ac:dyDescent="0.2">
      <c r="B1146" s="43"/>
      <c r="D1146" s="476"/>
      <c r="E1146" s="518"/>
      <c r="F1146" s="284">
        <v>206</v>
      </c>
      <c r="G1146" s="41"/>
      <c r="H1146" s="284">
        <v>424</v>
      </c>
      <c r="I1146" s="194" t="s">
        <v>10</v>
      </c>
      <c r="J1146" s="56">
        <v>600000</v>
      </c>
      <c r="K1146" s="52"/>
      <c r="L1146" s="51">
        <f>SUM(J1146:K1146)</f>
        <v>600000</v>
      </c>
      <c r="M1146" s="909"/>
    </row>
    <row r="1147" spans="2:14" x14ac:dyDescent="0.2">
      <c r="B1147" s="43"/>
      <c r="D1147" s="476"/>
      <c r="E1147" s="518"/>
      <c r="F1147" s="284"/>
      <c r="G1147" s="47" t="s">
        <v>37</v>
      </c>
      <c r="H1147" s="285"/>
      <c r="I1147" s="194" t="s">
        <v>38</v>
      </c>
      <c r="J1147" s="56">
        <f>SUM(J1146)</f>
        <v>600000</v>
      </c>
      <c r="K1147" s="52"/>
      <c r="L1147" s="51">
        <f>SUM(J1146:K1146)</f>
        <v>600000</v>
      </c>
    </row>
    <row r="1148" spans="2:14" x14ac:dyDescent="0.2">
      <c r="B1148" s="43"/>
      <c r="D1148" s="476"/>
      <c r="E1148" s="518"/>
      <c r="F1148" s="284"/>
      <c r="G1148" s="41"/>
      <c r="H1148" s="286"/>
      <c r="I1148" s="202" t="s">
        <v>710</v>
      </c>
      <c r="J1148" s="48">
        <f>SUM(J1147)</f>
        <v>600000</v>
      </c>
      <c r="K1148" s="52"/>
      <c r="L1148" s="52">
        <f>SUM(L1147)</f>
        <v>600000</v>
      </c>
    </row>
    <row r="1149" spans="2:14" x14ac:dyDescent="0.2">
      <c r="B1149" s="43"/>
      <c r="D1149" s="476"/>
      <c r="E1149" s="518"/>
      <c r="F1149" s="284"/>
      <c r="G1149" s="41"/>
      <c r="H1149" s="285"/>
      <c r="I1149" s="24"/>
      <c r="J1149" s="198"/>
      <c r="K1149" s="27"/>
      <c r="L1149" s="53"/>
    </row>
    <row r="1150" spans="2:14" ht="33.75" x14ac:dyDescent="0.2">
      <c r="B1150" s="43"/>
      <c r="D1150" s="476"/>
      <c r="E1150" s="520" t="s">
        <v>251</v>
      </c>
      <c r="F1150" s="358"/>
      <c r="G1150" s="307"/>
      <c r="H1150" s="360"/>
      <c r="I1150" s="368" t="s">
        <v>848</v>
      </c>
      <c r="J1150" s="234"/>
      <c r="K1150" s="299"/>
      <c r="L1150" s="49"/>
    </row>
    <row r="1151" spans="2:14" x14ac:dyDescent="0.2">
      <c r="B1151" s="43"/>
      <c r="D1151" s="476"/>
      <c r="E1151" s="518"/>
      <c r="F1151" s="284">
        <v>207</v>
      </c>
      <c r="G1151" s="41"/>
      <c r="H1151" s="284">
        <v>511</v>
      </c>
      <c r="I1151" s="194" t="s">
        <v>20</v>
      </c>
      <c r="J1151" s="973">
        <v>1</v>
      </c>
      <c r="K1151" s="969"/>
      <c r="L1151" s="963">
        <f>SUM(J1151:K1151)</f>
        <v>1</v>
      </c>
    </row>
    <row r="1152" spans="2:14" x14ac:dyDescent="0.2">
      <c r="B1152" s="43"/>
      <c r="D1152" s="476"/>
      <c r="E1152" s="518"/>
      <c r="F1152" s="284"/>
      <c r="G1152" s="47" t="s">
        <v>37</v>
      </c>
      <c r="H1152" s="285"/>
      <c r="I1152" s="194" t="s">
        <v>38</v>
      </c>
      <c r="J1152" s="973">
        <f>SUM(J1151)</f>
        <v>1</v>
      </c>
      <c r="K1152" s="969"/>
      <c r="L1152" s="963">
        <f>SUM(J1151:K1151)</f>
        <v>1</v>
      </c>
    </row>
    <row r="1153" spans="2:14" ht="15" x14ac:dyDescent="0.25">
      <c r="B1153" s="43"/>
      <c r="D1153" s="476"/>
      <c r="E1153" s="518"/>
      <c r="F1153" s="284"/>
      <c r="G1153" s="41"/>
      <c r="H1153" s="288"/>
      <c r="I1153" s="202" t="s">
        <v>710</v>
      </c>
      <c r="J1153" s="978">
        <f>SUM(J1152)</f>
        <v>1</v>
      </c>
      <c r="K1153" s="969"/>
      <c r="L1153" s="969">
        <f>SUM(J1152:K1152)</f>
        <v>1</v>
      </c>
    </row>
    <row r="1154" spans="2:14" x14ac:dyDescent="0.2">
      <c r="B1154" s="43"/>
      <c r="D1154" s="476"/>
      <c r="E1154" s="518"/>
      <c r="F1154" s="284"/>
      <c r="G1154" s="41"/>
      <c r="H1154" s="285"/>
      <c r="I1154" s="24"/>
      <c r="J1154" s="198"/>
      <c r="K1154" s="27"/>
      <c r="L1154" s="53"/>
    </row>
    <row r="1155" spans="2:14" ht="22.5" x14ac:dyDescent="0.2">
      <c r="B1155" s="43"/>
      <c r="D1155" s="476"/>
      <c r="E1155" s="520" t="s">
        <v>251</v>
      </c>
      <c r="F1155" s="358"/>
      <c r="G1155" s="307"/>
      <c r="H1155" s="360"/>
      <c r="I1155" s="368" t="s">
        <v>846</v>
      </c>
      <c r="J1155" s="234"/>
      <c r="K1155" s="299"/>
      <c r="L1155" s="49"/>
    </row>
    <row r="1156" spans="2:14" x14ac:dyDescent="0.2">
      <c r="B1156" s="43"/>
      <c r="D1156" s="476"/>
      <c r="E1156" s="518"/>
      <c r="F1156" s="284">
        <v>208</v>
      </c>
      <c r="G1156" s="41"/>
      <c r="H1156" s="284">
        <v>511</v>
      </c>
      <c r="I1156" s="194" t="s">
        <v>20</v>
      </c>
      <c r="J1156" s="973">
        <v>1</v>
      </c>
      <c r="K1156" s="969"/>
      <c r="L1156" s="963">
        <f>SUM(J1156:K1156)</f>
        <v>1</v>
      </c>
    </row>
    <row r="1157" spans="2:14" x14ac:dyDescent="0.2">
      <c r="B1157" s="43"/>
      <c r="D1157" s="476"/>
      <c r="E1157" s="518"/>
      <c r="F1157" s="284"/>
      <c r="G1157" s="47" t="s">
        <v>37</v>
      </c>
      <c r="H1157" s="285"/>
      <c r="I1157" s="194" t="s">
        <v>38</v>
      </c>
      <c r="J1157" s="973">
        <f>SUM(J1156)</f>
        <v>1</v>
      </c>
      <c r="K1157" s="969"/>
      <c r="L1157" s="963">
        <f>SUM(J1156:K1156)</f>
        <v>1</v>
      </c>
    </row>
    <row r="1158" spans="2:14" ht="15" x14ac:dyDescent="0.25">
      <c r="B1158" s="43"/>
      <c r="D1158" s="476"/>
      <c r="E1158" s="518"/>
      <c r="F1158" s="284"/>
      <c r="G1158" s="41"/>
      <c r="H1158" s="288"/>
      <c r="I1158" s="202" t="s">
        <v>704</v>
      </c>
      <c r="J1158" s="978">
        <f>SUM(J1157)</f>
        <v>1</v>
      </c>
      <c r="K1158" s="969"/>
      <c r="L1158" s="969">
        <f>SUM(J1157:K1157)</f>
        <v>1</v>
      </c>
    </row>
    <row r="1159" spans="2:14" x14ac:dyDescent="0.2">
      <c r="B1159" s="43"/>
      <c r="D1159" s="476"/>
      <c r="E1159" s="518"/>
      <c r="F1159" s="284"/>
      <c r="G1159" s="41"/>
      <c r="H1159" s="285"/>
      <c r="I1159" s="17"/>
      <c r="J1159" s="198"/>
      <c r="K1159" s="27"/>
      <c r="L1159" s="53"/>
    </row>
    <row r="1160" spans="2:14" ht="33.75" x14ac:dyDescent="0.2">
      <c r="B1160" s="43"/>
      <c r="D1160" s="476"/>
      <c r="E1160" s="520" t="s">
        <v>251</v>
      </c>
      <c r="F1160" s="358"/>
      <c r="G1160" s="307"/>
      <c r="H1160" s="360"/>
      <c r="I1160" s="368" t="s">
        <v>847</v>
      </c>
      <c r="J1160" s="234"/>
      <c r="K1160" s="299"/>
      <c r="L1160" s="49"/>
    </row>
    <row r="1161" spans="2:14" x14ac:dyDescent="0.2">
      <c r="B1161" s="43"/>
      <c r="D1161" s="476"/>
      <c r="E1161" s="518"/>
      <c r="F1161" s="284">
        <v>209</v>
      </c>
      <c r="G1161" s="41"/>
      <c r="H1161" s="284">
        <v>511</v>
      </c>
      <c r="I1161" s="194" t="s">
        <v>20</v>
      </c>
      <c r="J1161" s="973">
        <v>1</v>
      </c>
      <c r="K1161" s="969"/>
      <c r="L1161" s="963">
        <f>SUM(J1161:K1161)</f>
        <v>1</v>
      </c>
    </row>
    <row r="1162" spans="2:14" x14ac:dyDescent="0.2">
      <c r="B1162" s="43"/>
      <c r="D1162" s="476"/>
      <c r="E1162" s="518"/>
      <c r="F1162" s="284"/>
      <c r="G1162" s="47" t="s">
        <v>37</v>
      </c>
      <c r="H1162" s="285"/>
      <c r="I1162" s="194" t="s">
        <v>38</v>
      </c>
      <c r="J1162" s="973">
        <f>SUM(J1161)</f>
        <v>1</v>
      </c>
      <c r="K1162" s="969"/>
      <c r="L1162" s="963">
        <f>SUM(J1161:K1161)</f>
        <v>1</v>
      </c>
    </row>
    <row r="1163" spans="2:14" x14ac:dyDescent="0.2">
      <c r="B1163" s="43"/>
      <c r="D1163" s="476"/>
      <c r="E1163" s="518"/>
      <c r="F1163" s="284"/>
      <c r="G1163" s="41"/>
      <c r="H1163" s="286"/>
      <c r="I1163" s="202" t="s">
        <v>710</v>
      </c>
      <c r="J1163" s="978">
        <f>SUM(J1162)</f>
        <v>1</v>
      </c>
      <c r="K1163" s="969"/>
      <c r="L1163" s="969">
        <f>SUM(J1162:K1162)</f>
        <v>1</v>
      </c>
    </row>
    <row r="1164" spans="2:14" ht="15" x14ac:dyDescent="0.25">
      <c r="B1164" s="43"/>
      <c r="D1164" s="476"/>
      <c r="E1164" s="518"/>
      <c r="F1164" s="284"/>
      <c r="G1164" s="41"/>
      <c r="H1164" s="288"/>
      <c r="I1164" s="17"/>
      <c r="J1164" s="198"/>
      <c r="K1164" s="27"/>
      <c r="L1164" s="53"/>
    </row>
    <row r="1165" spans="2:14" x14ac:dyDescent="0.2">
      <c r="B1165" s="43"/>
      <c r="D1165" s="476"/>
      <c r="E1165" s="520" t="s">
        <v>251</v>
      </c>
      <c r="F1165" s="358"/>
      <c r="G1165" s="307"/>
      <c r="H1165" s="360"/>
      <c r="I1165" s="368" t="s">
        <v>956</v>
      </c>
      <c r="J1165" s="234"/>
      <c r="K1165" s="299"/>
      <c r="L1165" s="49"/>
    </row>
    <row r="1166" spans="2:14" x14ac:dyDescent="0.2">
      <c r="B1166" s="43"/>
      <c r="D1166" s="476"/>
      <c r="E1166" s="521"/>
      <c r="F1166" s="792" t="s">
        <v>983</v>
      </c>
      <c r="G1166" s="793"/>
      <c r="H1166" s="794" t="s">
        <v>46</v>
      </c>
      <c r="I1166" s="807" t="s">
        <v>10</v>
      </c>
      <c r="J1166" s="816">
        <v>1200000</v>
      </c>
      <c r="K1166" s="817"/>
      <c r="L1166" s="797">
        <f>SUM(J1166:K1166)</f>
        <v>1200000</v>
      </c>
    </row>
    <row r="1167" spans="2:14" x14ac:dyDescent="0.2">
      <c r="B1167" s="43"/>
      <c r="D1167" s="476"/>
      <c r="E1167" s="518"/>
      <c r="F1167" s="284">
        <v>210</v>
      </c>
      <c r="G1167" s="41"/>
      <c r="H1167" s="285" t="s">
        <v>270</v>
      </c>
      <c r="I1167" s="262" t="s">
        <v>20</v>
      </c>
      <c r="J1167" s="56">
        <f>54678924.4+960000</f>
        <v>55638924.399999999</v>
      </c>
      <c r="K1167" s="52"/>
      <c r="L1167" s="51">
        <f>SUM(J1167:K1167)</f>
        <v>55638924.399999999</v>
      </c>
      <c r="N1167" s="845"/>
    </row>
    <row r="1168" spans="2:14" x14ac:dyDescent="0.2">
      <c r="B1168" s="43"/>
      <c r="D1168" s="476"/>
      <c r="E1168" s="518"/>
      <c r="F1168" s="284"/>
      <c r="G1168" s="47" t="s">
        <v>37</v>
      </c>
      <c r="H1168" s="284"/>
      <c r="I1168" s="262" t="s">
        <v>38</v>
      </c>
      <c r="J1168" s="56">
        <f>SUM(J1170-J1169)</f>
        <v>29999462.199999999</v>
      </c>
      <c r="K1168" s="52"/>
      <c r="L1168" s="51">
        <f t="shared" ref="L1168:L1169" si="62">SUM(J1168:K1168)</f>
        <v>29999462.199999999</v>
      </c>
    </row>
    <row r="1169" spans="2:19" x14ac:dyDescent="0.2">
      <c r="B1169" s="43"/>
      <c r="D1169" s="476"/>
      <c r="E1169" s="518"/>
      <c r="F1169" s="284"/>
      <c r="G1169" s="47" t="s">
        <v>113</v>
      </c>
      <c r="H1169" s="285"/>
      <c r="I1169" s="262" t="s">
        <v>418</v>
      </c>
      <c r="J1169" s="56">
        <v>26839462.199999999</v>
      </c>
      <c r="K1169" s="52"/>
      <c r="L1169" s="51">
        <f t="shared" si="62"/>
        <v>26839462.199999999</v>
      </c>
    </row>
    <row r="1170" spans="2:19" ht="15" x14ac:dyDescent="0.25">
      <c r="B1170" s="43"/>
      <c r="D1170" s="476"/>
      <c r="E1170" s="518"/>
      <c r="F1170" s="284"/>
      <c r="G1170" s="41"/>
      <c r="H1170" s="288"/>
      <c r="I1170" s="273" t="s">
        <v>710</v>
      </c>
      <c r="J1170" s="48">
        <f>SUM(J1166:J1167)</f>
        <v>56838924.399999999</v>
      </c>
      <c r="K1170" s="52"/>
      <c r="L1170" s="52">
        <f>SUM(J1170:K1170)</f>
        <v>56838924.399999999</v>
      </c>
    </row>
    <row r="1171" spans="2:19" x14ac:dyDescent="0.2">
      <c r="B1171" s="43"/>
      <c r="D1171" s="476"/>
      <c r="E1171" s="518"/>
      <c r="F1171" s="284"/>
      <c r="G1171" s="41"/>
      <c r="H1171" s="285"/>
      <c r="I1171" s="17"/>
      <c r="J1171" s="237"/>
      <c r="K1171" s="27"/>
      <c r="L1171" s="53"/>
    </row>
    <row r="1172" spans="2:19" ht="21" customHeight="1" x14ac:dyDescent="0.2">
      <c r="B1172" s="43"/>
      <c r="D1172" s="476"/>
      <c r="E1172" s="520" t="s">
        <v>251</v>
      </c>
      <c r="F1172" s="358"/>
      <c r="G1172" s="307"/>
      <c r="H1172" s="360"/>
      <c r="I1172" s="368" t="s">
        <v>893</v>
      </c>
      <c r="J1172" s="234"/>
      <c r="K1172" s="299"/>
      <c r="L1172" s="49"/>
    </row>
    <row r="1173" spans="2:19" x14ac:dyDescent="0.2">
      <c r="B1173" s="43"/>
      <c r="D1173" s="476"/>
      <c r="E1173" s="518"/>
      <c r="F1173" s="284">
        <v>211</v>
      </c>
      <c r="G1173" s="41"/>
      <c r="H1173" s="284">
        <v>511</v>
      </c>
      <c r="I1173" s="262" t="s">
        <v>20</v>
      </c>
      <c r="J1173" s="56">
        <v>360000</v>
      </c>
      <c r="K1173" s="52"/>
      <c r="L1173" s="51">
        <f>SUM(J1173:K1173)</f>
        <v>360000</v>
      </c>
    </row>
    <row r="1174" spans="2:19" x14ac:dyDescent="0.2">
      <c r="B1174" s="43"/>
      <c r="D1174" s="476"/>
      <c r="E1174" s="518"/>
      <c r="F1174" s="284"/>
      <c r="G1174" s="47" t="s">
        <v>37</v>
      </c>
      <c r="H1174" s="285"/>
      <c r="I1174" s="262" t="s">
        <v>38</v>
      </c>
      <c r="J1174" s="56">
        <f>SUM(J1173)</f>
        <v>360000</v>
      </c>
      <c r="K1174" s="52"/>
      <c r="L1174" s="51">
        <f>SUM(J1173:K1173)</f>
        <v>360000</v>
      </c>
    </row>
    <row r="1175" spans="2:19" ht="15" x14ac:dyDescent="0.25">
      <c r="B1175" s="43"/>
      <c r="D1175" s="476"/>
      <c r="E1175" s="518"/>
      <c r="F1175" s="284"/>
      <c r="G1175" s="41"/>
      <c r="H1175" s="288"/>
      <c r="I1175" s="202" t="s">
        <v>710</v>
      </c>
      <c r="J1175" s="48">
        <f>SUM(J1174)</f>
        <v>360000</v>
      </c>
      <c r="K1175" s="52"/>
      <c r="L1175" s="52">
        <f>SUM(J1174:K1174)</f>
        <v>360000</v>
      </c>
    </row>
    <row r="1176" spans="2:19" x14ac:dyDescent="0.2">
      <c r="B1176" s="43"/>
      <c r="D1176" s="476"/>
      <c r="E1176" s="518"/>
      <c r="F1176" s="284"/>
      <c r="G1176" s="41"/>
      <c r="H1176" s="285"/>
      <c r="I1176" s="24"/>
      <c r="J1176" s="198"/>
      <c r="K1176" s="27"/>
      <c r="L1176" s="53"/>
    </row>
    <row r="1177" spans="2:19" ht="22.5" x14ac:dyDescent="0.2">
      <c r="B1177" s="43"/>
      <c r="D1177" s="476"/>
      <c r="E1177" s="872" t="s">
        <v>251</v>
      </c>
      <c r="F1177" s="873"/>
      <c r="G1177" s="874"/>
      <c r="H1177" s="875"/>
      <c r="I1177" s="890" t="s">
        <v>845</v>
      </c>
      <c r="J1177" s="891"/>
      <c r="K1177" s="892"/>
      <c r="L1177" s="893"/>
      <c r="N1177" s="845"/>
      <c r="O1177" s="894"/>
      <c r="P1177" s="846"/>
      <c r="Q1177" s="895"/>
      <c r="R1177" s="895"/>
      <c r="S1177" s="895"/>
    </row>
    <row r="1178" spans="2:19" x14ac:dyDescent="0.2">
      <c r="B1178" s="43"/>
      <c r="D1178" s="476"/>
      <c r="E1178" s="879"/>
      <c r="F1178" s="880" t="s">
        <v>982</v>
      </c>
      <c r="G1178" s="881"/>
      <c r="H1178" s="882" t="s">
        <v>46</v>
      </c>
      <c r="I1178" s="883" t="s">
        <v>10</v>
      </c>
      <c r="J1178" s="884">
        <f>200000+120000</f>
        <v>320000</v>
      </c>
      <c r="K1178" s="885"/>
      <c r="L1178" s="886">
        <f>SUM(J1178:K1178)</f>
        <v>320000</v>
      </c>
      <c r="M1178" s="1022"/>
      <c r="N1178" s="845"/>
      <c r="O1178" s="894"/>
      <c r="P1178" s="846"/>
      <c r="Q1178" s="895"/>
      <c r="R1178" s="895"/>
      <c r="S1178" s="895"/>
    </row>
    <row r="1179" spans="2:19" x14ac:dyDescent="0.2">
      <c r="B1179" s="43"/>
      <c r="D1179" s="476"/>
      <c r="E1179" s="769"/>
      <c r="F1179" s="770">
        <v>212</v>
      </c>
      <c r="G1179" s="771"/>
      <c r="H1179" s="770">
        <v>511</v>
      </c>
      <c r="I1179" s="838" t="s">
        <v>20</v>
      </c>
      <c r="J1179" s="840">
        <f>12250000+2580000+1000000</f>
        <v>15830000</v>
      </c>
      <c r="K1179" s="188"/>
      <c r="L1179" s="188">
        <f>SUM(J1179:K1179)</f>
        <v>15830000</v>
      </c>
      <c r="N1179" s="845"/>
      <c r="O1179" s="894"/>
      <c r="P1179" s="846"/>
      <c r="Q1179" s="895"/>
      <c r="R1179" s="895"/>
      <c r="S1179" s="895"/>
    </row>
    <row r="1180" spans="2:19" x14ac:dyDescent="0.2">
      <c r="B1180" s="43"/>
      <c r="D1180" s="476"/>
      <c r="E1180" s="769"/>
      <c r="F1180" s="770"/>
      <c r="G1180" s="887" t="s">
        <v>37</v>
      </c>
      <c r="H1180" s="772"/>
      <c r="I1180" s="838" t="s">
        <v>38</v>
      </c>
      <c r="J1180" s="840">
        <f>SUM(J1178:J1179)</f>
        <v>16150000</v>
      </c>
      <c r="K1180" s="839"/>
      <c r="L1180" s="188">
        <f>SUM(J1180:K1180)</f>
        <v>16150000</v>
      </c>
      <c r="N1180" s="845"/>
      <c r="O1180" s="894"/>
      <c r="P1180" s="846"/>
      <c r="Q1180" s="895"/>
      <c r="R1180" s="895"/>
      <c r="S1180" s="895"/>
    </row>
    <row r="1181" spans="2:19" ht="15" x14ac:dyDescent="0.25">
      <c r="B1181" s="43"/>
      <c r="D1181" s="476"/>
      <c r="E1181" s="769"/>
      <c r="F1181" s="770"/>
      <c r="G1181" s="771"/>
      <c r="H1181" s="888"/>
      <c r="I1181" s="889" t="s">
        <v>710</v>
      </c>
      <c r="J1181" s="896">
        <f>SUM(J1180)</f>
        <v>16150000</v>
      </c>
      <c r="K1181" s="839"/>
      <c r="L1181" s="839">
        <f>SUM(J1180:K1180)</f>
        <v>16150000</v>
      </c>
      <c r="N1181" s="845"/>
      <c r="O1181" s="894"/>
      <c r="P1181" s="846"/>
      <c r="Q1181" s="895"/>
      <c r="R1181" s="895"/>
      <c r="S1181" s="895"/>
    </row>
    <row r="1182" spans="2:19" x14ac:dyDescent="0.2">
      <c r="B1182" s="43"/>
      <c r="D1182" s="476"/>
      <c r="E1182" s="518"/>
      <c r="F1182" s="284"/>
      <c r="G1182" s="41"/>
      <c r="H1182" s="285"/>
      <c r="I1182" s="17"/>
      <c r="J1182" s="198"/>
      <c r="K1182" s="27"/>
      <c r="L1182" s="53"/>
    </row>
    <row r="1183" spans="2:19" ht="24" customHeight="1" x14ac:dyDescent="0.2">
      <c r="B1183" s="43"/>
      <c r="D1183" s="476"/>
      <c r="E1183" s="872" t="s">
        <v>251</v>
      </c>
      <c r="F1183" s="873"/>
      <c r="G1183" s="874"/>
      <c r="H1183" s="875"/>
      <c r="I1183" s="890" t="s">
        <v>844</v>
      </c>
      <c r="J1183" s="891"/>
      <c r="K1183" s="892"/>
      <c r="L1183" s="893"/>
    </row>
    <row r="1184" spans="2:19" ht="15" customHeight="1" x14ac:dyDescent="0.2">
      <c r="B1184" s="43"/>
      <c r="D1184" s="476"/>
      <c r="E1184" s="897"/>
      <c r="F1184" s="880" t="s">
        <v>1061</v>
      </c>
      <c r="G1184" s="881"/>
      <c r="H1184" s="882" t="s">
        <v>46</v>
      </c>
      <c r="I1184" s="883" t="s">
        <v>10</v>
      </c>
      <c r="J1184" s="840">
        <f>120000</f>
        <v>120000</v>
      </c>
      <c r="K1184" s="892"/>
      <c r="L1184" s="188">
        <f>SUM(J1184:K1184)</f>
        <v>120000</v>
      </c>
    </row>
    <row r="1185" spans="2:18" ht="14.25" customHeight="1" x14ac:dyDescent="0.2">
      <c r="B1185" s="43"/>
      <c r="D1185" s="476"/>
      <c r="E1185" s="769"/>
      <c r="F1185" s="770">
        <v>213</v>
      </c>
      <c r="G1185" s="771"/>
      <c r="H1185" s="770">
        <v>511</v>
      </c>
      <c r="I1185" s="838" t="s">
        <v>20</v>
      </c>
      <c r="J1185" s="840">
        <f>20340000+480000</f>
        <v>20820000</v>
      </c>
      <c r="K1185" s="188"/>
      <c r="L1185" s="188">
        <f>SUM(J1185:K1185)</f>
        <v>20820000</v>
      </c>
      <c r="N1185" s="845"/>
    </row>
    <row r="1186" spans="2:18" ht="15" customHeight="1" x14ac:dyDescent="0.2">
      <c r="B1186" s="43"/>
      <c r="D1186" s="476"/>
      <c r="E1186" s="769"/>
      <c r="F1186" s="770"/>
      <c r="G1186" s="887" t="s">
        <v>37</v>
      </c>
      <c r="H1186" s="772"/>
      <c r="I1186" s="838" t="s">
        <v>38</v>
      </c>
      <c r="J1186" s="840">
        <f>SUM(J1184:J1185)</f>
        <v>20940000</v>
      </c>
      <c r="K1186" s="839"/>
      <c r="L1186" s="188">
        <f>SUM(J1185:K1185)</f>
        <v>20820000</v>
      </c>
    </row>
    <row r="1187" spans="2:18" ht="14.25" customHeight="1" x14ac:dyDescent="0.25">
      <c r="B1187" s="43"/>
      <c r="D1187" s="476"/>
      <c r="E1187" s="769"/>
      <c r="F1187" s="770"/>
      <c r="G1187" s="771"/>
      <c r="H1187" s="888"/>
      <c r="I1187" s="889" t="s">
        <v>710</v>
      </c>
      <c r="J1187" s="896">
        <f>SUM(J1186)</f>
        <v>20940000</v>
      </c>
      <c r="K1187" s="839"/>
      <c r="L1187" s="839">
        <f>SUM(J1186:K1186)</f>
        <v>20940000</v>
      </c>
    </row>
    <row r="1188" spans="2:18" ht="21" customHeight="1" x14ac:dyDescent="0.2">
      <c r="B1188" s="43"/>
      <c r="D1188" s="476"/>
      <c r="E1188" s="518"/>
      <c r="F1188" s="284"/>
      <c r="G1188" s="41"/>
      <c r="H1188" s="285"/>
      <c r="I1188" s="17"/>
      <c r="J1188" s="198"/>
      <c r="K1188" s="27"/>
      <c r="L1188" s="53"/>
    </row>
    <row r="1189" spans="2:18" ht="33.75" x14ac:dyDescent="0.2">
      <c r="B1189" s="43"/>
      <c r="D1189" s="476"/>
      <c r="E1189" s="520" t="s">
        <v>251</v>
      </c>
      <c r="F1189" s="358"/>
      <c r="G1189" s="307"/>
      <c r="H1189" s="360"/>
      <c r="I1189" s="312" t="s">
        <v>842</v>
      </c>
      <c r="J1189" s="232"/>
      <c r="K1189" s="71"/>
      <c r="L1189" s="233"/>
      <c r="M1189" s="1018"/>
    </row>
    <row r="1190" spans="2:18" x14ac:dyDescent="0.2">
      <c r="B1190" s="43"/>
      <c r="D1190" s="476"/>
      <c r="E1190" s="518"/>
      <c r="F1190" s="284">
        <v>214</v>
      </c>
      <c r="G1190" s="41"/>
      <c r="H1190" s="284">
        <v>511</v>
      </c>
      <c r="I1190" s="194" t="s">
        <v>20</v>
      </c>
      <c r="J1190" s="973">
        <v>1</v>
      </c>
      <c r="K1190" s="963"/>
      <c r="L1190" s="963">
        <f>SUM(J1190:K1190)</f>
        <v>1</v>
      </c>
      <c r="M1190" s="1018"/>
    </row>
    <row r="1191" spans="2:18" x14ac:dyDescent="0.2">
      <c r="B1191" s="43"/>
      <c r="D1191" s="476"/>
      <c r="E1191" s="518"/>
      <c r="F1191" s="284"/>
      <c r="G1191" s="47" t="s">
        <v>37</v>
      </c>
      <c r="H1191" s="285"/>
      <c r="I1191" s="194" t="s">
        <v>38</v>
      </c>
      <c r="J1191" s="973">
        <f>SUM(J1190:J1190)</f>
        <v>1</v>
      </c>
      <c r="K1191" s="969"/>
      <c r="L1191" s="963">
        <f>SUM(J1190:K1190)</f>
        <v>1</v>
      </c>
    </row>
    <row r="1192" spans="2:18" ht="15" x14ac:dyDescent="0.25">
      <c r="B1192" s="43"/>
      <c r="D1192" s="476"/>
      <c r="E1192" s="518"/>
      <c r="F1192" s="284"/>
      <c r="G1192" s="41"/>
      <c r="H1192" s="288"/>
      <c r="I1192" s="202" t="s">
        <v>710</v>
      </c>
      <c r="J1192" s="978">
        <f>SUM(J1191)</f>
        <v>1</v>
      </c>
      <c r="K1192" s="969"/>
      <c r="L1192" s="969">
        <f>SUM(J1191:K1191)</f>
        <v>1</v>
      </c>
    </row>
    <row r="1193" spans="2:18" x14ac:dyDescent="0.2">
      <c r="B1193" s="43"/>
      <c r="D1193" s="476"/>
      <c r="E1193" s="518"/>
      <c r="F1193" s="284"/>
      <c r="G1193" s="41"/>
      <c r="H1193" s="285"/>
      <c r="I1193" s="17"/>
      <c r="J1193" s="198"/>
      <c r="K1193" s="27"/>
      <c r="L1193" s="53"/>
    </row>
    <row r="1194" spans="2:18" ht="22.5" x14ac:dyDescent="0.2">
      <c r="B1194" s="43"/>
      <c r="D1194" s="476"/>
      <c r="E1194" s="520" t="s">
        <v>251</v>
      </c>
      <c r="F1194" s="358"/>
      <c r="G1194" s="307"/>
      <c r="H1194" s="360"/>
      <c r="I1194" s="312" t="s">
        <v>843</v>
      </c>
      <c r="J1194" s="232"/>
      <c r="K1194" s="71"/>
      <c r="L1194" s="233"/>
    </row>
    <row r="1195" spans="2:18" x14ac:dyDescent="0.2">
      <c r="B1195" s="43"/>
      <c r="D1195" s="476"/>
      <c r="E1195" s="521"/>
      <c r="F1195" s="792" t="s">
        <v>981</v>
      </c>
      <c r="G1195" s="793"/>
      <c r="H1195" s="794" t="s">
        <v>46</v>
      </c>
      <c r="I1195" s="807" t="s">
        <v>10</v>
      </c>
      <c r="J1195" s="816">
        <v>200000</v>
      </c>
      <c r="K1195" s="817"/>
      <c r="L1195" s="797">
        <f>SUM(J1195:K1195)</f>
        <v>200000</v>
      </c>
    </row>
    <row r="1196" spans="2:18" ht="15" customHeight="1" x14ac:dyDescent="0.2">
      <c r="B1196" s="43"/>
      <c r="D1196" s="476"/>
      <c r="E1196" s="518"/>
      <c r="F1196" s="284">
        <v>215</v>
      </c>
      <c r="G1196" s="41"/>
      <c r="H1196" s="284">
        <v>511</v>
      </c>
      <c r="I1196" s="194" t="s">
        <v>20</v>
      </c>
      <c r="J1196" s="56">
        <v>15300000</v>
      </c>
      <c r="K1196" s="51"/>
      <c r="L1196" s="51">
        <f>SUM(J1196:K1196)</f>
        <v>15300000</v>
      </c>
    </row>
    <row r="1197" spans="2:18" x14ac:dyDescent="0.2">
      <c r="B1197" s="43"/>
      <c r="D1197" s="476"/>
      <c r="E1197" s="518"/>
      <c r="F1197" s="284"/>
      <c r="G1197" s="47" t="s">
        <v>37</v>
      </c>
      <c r="H1197" s="285"/>
      <c r="I1197" s="194" t="s">
        <v>38</v>
      </c>
      <c r="J1197" s="56">
        <f>SUM(J1195:J1196)</f>
        <v>15500000</v>
      </c>
      <c r="K1197" s="52"/>
      <c r="L1197" s="51">
        <f>SUM(J1197:K1197)</f>
        <v>15500000</v>
      </c>
    </row>
    <row r="1198" spans="2:18" ht="15" x14ac:dyDescent="0.25">
      <c r="B1198" s="43"/>
      <c r="D1198" s="476"/>
      <c r="E1198" s="518"/>
      <c r="F1198" s="284"/>
      <c r="G1198" s="41"/>
      <c r="H1198" s="288"/>
      <c r="I1198" s="202" t="s">
        <v>710</v>
      </c>
      <c r="J1198" s="48">
        <f>SUM(J1197)</f>
        <v>15500000</v>
      </c>
      <c r="K1198" s="52"/>
      <c r="L1198" s="52">
        <f>SUM(J1197:K1197)</f>
        <v>15500000</v>
      </c>
    </row>
    <row r="1199" spans="2:18" x14ac:dyDescent="0.2">
      <c r="B1199" s="43"/>
      <c r="D1199" s="476"/>
      <c r="E1199" s="518"/>
      <c r="F1199" s="284"/>
      <c r="G1199" s="41"/>
      <c r="H1199" s="285"/>
      <c r="I1199" s="24"/>
      <c r="J1199" s="198"/>
      <c r="K1199" s="27"/>
      <c r="L1199" s="53"/>
    </row>
    <row r="1200" spans="2:18" ht="45" x14ac:dyDescent="0.2">
      <c r="B1200" s="43"/>
      <c r="D1200" s="476"/>
      <c r="E1200" s="872" t="s">
        <v>251</v>
      </c>
      <c r="F1200" s="873"/>
      <c r="G1200" s="874"/>
      <c r="H1200" s="875"/>
      <c r="I1200" s="890" t="s">
        <v>955</v>
      </c>
      <c r="J1200" s="891"/>
      <c r="K1200" s="892"/>
      <c r="L1200" s="893"/>
      <c r="N1200" s="845"/>
      <c r="O1200" s="894"/>
      <c r="P1200" s="846"/>
      <c r="Q1200" s="895"/>
      <c r="R1200" s="895"/>
    </row>
    <row r="1201" spans="2:18" x14ac:dyDescent="0.2">
      <c r="B1201" s="43"/>
      <c r="D1201" s="476"/>
      <c r="E1201" s="879"/>
      <c r="F1201" s="880" t="s">
        <v>1023</v>
      </c>
      <c r="G1201" s="881"/>
      <c r="H1201" s="882" t="s">
        <v>46</v>
      </c>
      <c r="I1201" s="883" t="s">
        <v>10</v>
      </c>
      <c r="J1201" s="884">
        <f>200000</f>
        <v>200000</v>
      </c>
      <c r="K1201" s="885"/>
      <c r="L1201" s="886">
        <f>SUM(J1201:K1201)</f>
        <v>200000</v>
      </c>
      <c r="N1201" s="845"/>
      <c r="O1201" s="894"/>
      <c r="P1201" s="846"/>
      <c r="Q1201" s="895"/>
      <c r="R1201" s="895"/>
    </row>
    <row r="1202" spans="2:18" x14ac:dyDescent="0.2">
      <c r="B1202" s="43"/>
      <c r="D1202" s="476"/>
      <c r="E1202" s="769"/>
      <c r="F1202" s="770">
        <v>216</v>
      </c>
      <c r="G1202" s="771"/>
      <c r="H1202" s="770">
        <v>511</v>
      </c>
      <c r="I1202" s="838" t="s">
        <v>20</v>
      </c>
      <c r="J1202" s="840">
        <f>30757364.88+600000</f>
        <v>31357364.879999999</v>
      </c>
      <c r="K1202" s="188"/>
      <c r="L1202" s="188">
        <f>SUM(J1202:K1202)</f>
        <v>31357364.879999999</v>
      </c>
      <c r="N1202" s="845"/>
      <c r="O1202" s="894"/>
      <c r="P1202" s="846"/>
      <c r="Q1202" s="895"/>
      <c r="R1202" s="895"/>
    </row>
    <row r="1203" spans="2:18" ht="13.5" customHeight="1" x14ac:dyDescent="0.2">
      <c r="B1203" s="43"/>
      <c r="D1203" s="476"/>
      <c r="E1203" s="769"/>
      <c r="F1203" s="770"/>
      <c r="G1203" s="887" t="s">
        <v>37</v>
      </c>
      <c r="H1203" s="772"/>
      <c r="I1203" s="838" t="s">
        <v>38</v>
      </c>
      <c r="J1203" s="840">
        <f>SUM(J1201:J1202)</f>
        <v>31557364.879999999</v>
      </c>
      <c r="K1203" s="839"/>
      <c r="L1203" s="188">
        <f>SUM(J1202:K1202)</f>
        <v>31357364.879999999</v>
      </c>
      <c r="N1203" s="845"/>
      <c r="O1203" s="894"/>
      <c r="P1203" s="846"/>
      <c r="Q1203" s="895"/>
      <c r="R1203" s="895"/>
    </row>
    <row r="1204" spans="2:18" ht="15" x14ac:dyDescent="0.25">
      <c r="B1204" s="43"/>
      <c r="D1204" s="476"/>
      <c r="E1204" s="769"/>
      <c r="F1204" s="770"/>
      <c r="G1204" s="771"/>
      <c r="H1204" s="888"/>
      <c r="I1204" s="889" t="s">
        <v>710</v>
      </c>
      <c r="J1204" s="896">
        <f>SUM(J1203)</f>
        <v>31557364.879999999</v>
      </c>
      <c r="K1204" s="839"/>
      <c r="L1204" s="839">
        <f>SUM(J1203:K1203)</f>
        <v>31557364.879999999</v>
      </c>
      <c r="N1204" s="898"/>
      <c r="O1204" s="894"/>
      <c r="P1204" s="846"/>
      <c r="Q1204" s="895"/>
      <c r="R1204" s="895"/>
    </row>
    <row r="1205" spans="2:18" x14ac:dyDescent="0.2">
      <c r="B1205" s="43"/>
      <c r="D1205" s="476"/>
      <c r="E1205" s="518"/>
      <c r="F1205" s="284"/>
      <c r="G1205" s="41"/>
      <c r="H1205" s="285"/>
      <c r="I1205" s="17"/>
      <c r="J1205" s="198"/>
      <c r="K1205" s="27"/>
      <c r="L1205" s="53"/>
    </row>
    <row r="1206" spans="2:18" ht="33.75" x14ac:dyDescent="0.2">
      <c r="B1206" s="43"/>
      <c r="D1206" s="476"/>
      <c r="E1206" s="520" t="s">
        <v>251</v>
      </c>
      <c r="F1206" s="358"/>
      <c r="G1206" s="307"/>
      <c r="H1206" s="360"/>
      <c r="I1206" s="312" t="s">
        <v>1024</v>
      </c>
      <c r="J1206" s="232"/>
      <c r="K1206" s="71"/>
      <c r="L1206" s="233"/>
    </row>
    <row r="1207" spans="2:18" x14ac:dyDescent="0.2">
      <c r="B1207" s="43"/>
      <c r="D1207" s="476"/>
      <c r="E1207" s="518"/>
      <c r="F1207" s="284">
        <v>217</v>
      </c>
      <c r="G1207" s="41"/>
      <c r="H1207" s="285" t="s">
        <v>270</v>
      </c>
      <c r="I1207" s="194" t="s">
        <v>20</v>
      </c>
      <c r="J1207" s="56">
        <v>2060000</v>
      </c>
      <c r="K1207" s="51"/>
      <c r="L1207" s="51">
        <f>SUM(J1207:K1207)</f>
        <v>2060000</v>
      </c>
      <c r="N1207" s="845"/>
    </row>
    <row r="1208" spans="2:18" ht="14.25" customHeight="1" x14ac:dyDescent="0.2">
      <c r="B1208" s="43"/>
      <c r="D1208" s="476"/>
      <c r="E1208" s="518"/>
      <c r="F1208" s="284"/>
      <c r="G1208" s="47" t="s">
        <v>37</v>
      </c>
      <c r="H1208" s="284"/>
      <c r="I1208" s="194" t="s">
        <v>38</v>
      </c>
      <c r="J1208" s="56">
        <f>SUM(J1207:J1207)</f>
        <v>2060000</v>
      </c>
      <c r="K1208" s="52"/>
      <c r="L1208" s="51">
        <f>SUM(J1207:K1207)</f>
        <v>2060000</v>
      </c>
    </row>
    <row r="1209" spans="2:18" x14ac:dyDescent="0.2">
      <c r="B1209" s="43"/>
      <c r="D1209" s="476"/>
      <c r="E1209" s="518"/>
      <c r="F1209" s="284"/>
      <c r="G1209" s="41"/>
      <c r="H1209" s="285"/>
      <c r="I1209" s="202" t="s">
        <v>710</v>
      </c>
      <c r="J1209" s="48">
        <f>SUM(J1208)</f>
        <v>2060000</v>
      </c>
      <c r="K1209" s="52"/>
      <c r="L1209" s="52">
        <f>SUM(J1208:K1208)</f>
        <v>2060000</v>
      </c>
    </row>
    <row r="1210" spans="2:18" ht="15" x14ac:dyDescent="0.25">
      <c r="B1210" s="43"/>
      <c r="D1210" s="476"/>
      <c r="E1210" s="518"/>
      <c r="F1210" s="284"/>
      <c r="G1210" s="41"/>
      <c r="H1210" s="288"/>
      <c r="I1210" s="17"/>
      <c r="J1210" s="198"/>
      <c r="K1210" s="27"/>
      <c r="L1210" s="53"/>
    </row>
    <row r="1211" spans="2:18" x14ac:dyDescent="0.2">
      <c r="B1211" s="43"/>
      <c r="D1211" s="476"/>
      <c r="E1211" s="518"/>
      <c r="F1211" s="284"/>
      <c r="G1211" s="41"/>
      <c r="H1211" s="285"/>
      <c r="I1211" s="17"/>
      <c r="J1211" s="198"/>
      <c r="K1211" s="27"/>
      <c r="L1211" s="53"/>
    </row>
    <row r="1212" spans="2:18" ht="22.5" x14ac:dyDescent="0.2">
      <c r="B1212" s="43"/>
      <c r="D1212" s="476"/>
      <c r="E1212" s="520" t="s">
        <v>251</v>
      </c>
      <c r="F1212" s="358"/>
      <c r="G1212" s="307"/>
      <c r="H1212" s="360"/>
      <c r="I1212" s="312" t="s">
        <v>841</v>
      </c>
      <c r="J1212" s="232"/>
      <c r="K1212" s="71"/>
      <c r="L1212" s="233"/>
    </row>
    <row r="1213" spans="2:18" x14ac:dyDescent="0.2">
      <c r="B1213" s="43"/>
      <c r="D1213" s="476"/>
      <c r="E1213" s="518"/>
      <c r="F1213" s="284">
        <v>218</v>
      </c>
      <c r="G1213" s="41"/>
      <c r="H1213" s="284">
        <v>511</v>
      </c>
      <c r="I1213" s="194" t="s">
        <v>20</v>
      </c>
      <c r="J1213" s="973">
        <v>1</v>
      </c>
      <c r="K1213" s="963"/>
      <c r="L1213" s="963">
        <f>SUM(J1213:K1213)</f>
        <v>1</v>
      </c>
      <c r="N1213" s="845"/>
    </row>
    <row r="1214" spans="2:18" x14ac:dyDescent="0.2">
      <c r="B1214" s="43"/>
      <c r="D1214" s="476"/>
      <c r="E1214" s="518"/>
      <c r="F1214" s="284"/>
      <c r="G1214" s="47" t="s">
        <v>37</v>
      </c>
      <c r="H1214" s="285"/>
      <c r="I1214" s="194" t="s">
        <v>38</v>
      </c>
      <c r="J1214" s="973">
        <f>SUM(J1213:J1213)</f>
        <v>1</v>
      </c>
      <c r="K1214" s="969"/>
      <c r="L1214" s="963">
        <f>SUM(J1213:K1213)</f>
        <v>1</v>
      </c>
    </row>
    <row r="1215" spans="2:18" ht="15" x14ac:dyDescent="0.25">
      <c r="B1215" s="43"/>
      <c r="D1215" s="476"/>
      <c r="E1215" s="518"/>
      <c r="F1215" s="284"/>
      <c r="G1215" s="41"/>
      <c r="H1215" s="288"/>
      <c r="I1215" s="202" t="s">
        <v>710</v>
      </c>
      <c r="J1215" s="978">
        <f>SUM(J1214)</f>
        <v>1</v>
      </c>
      <c r="K1215" s="969"/>
      <c r="L1215" s="969">
        <f>SUM(J1214:K1214)</f>
        <v>1</v>
      </c>
    </row>
    <row r="1216" spans="2:18" x14ac:dyDescent="0.2">
      <c r="B1216" s="43"/>
      <c r="D1216" s="476"/>
      <c r="E1216" s="518"/>
      <c r="F1216" s="284"/>
      <c r="G1216" s="41"/>
      <c r="H1216" s="285"/>
      <c r="I1216" s="17"/>
      <c r="J1216" s="198"/>
      <c r="K1216" s="27"/>
      <c r="L1216" s="53"/>
    </row>
    <row r="1217" spans="1:16" ht="22.5" x14ac:dyDescent="0.2">
      <c r="B1217" s="43"/>
      <c r="D1217" s="476"/>
      <c r="E1217" s="520" t="s">
        <v>251</v>
      </c>
      <c r="F1217" s="358"/>
      <c r="G1217" s="307"/>
      <c r="H1217" s="360"/>
      <c r="I1217" s="368" t="s">
        <v>840</v>
      </c>
      <c r="J1217" s="234"/>
      <c r="K1217" s="299"/>
      <c r="L1217" s="49"/>
    </row>
    <row r="1218" spans="1:16" x14ac:dyDescent="0.2">
      <c r="B1218" s="43"/>
      <c r="D1218" s="476"/>
      <c r="E1218" s="518"/>
      <c r="F1218" s="284">
        <v>219</v>
      </c>
      <c r="G1218" s="41"/>
      <c r="H1218" s="284">
        <v>511</v>
      </c>
      <c r="I1218" s="194" t="s">
        <v>20</v>
      </c>
      <c r="J1218" s="973">
        <v>1</v>
      </c>
      <c r="K1218" s="963"/>
      <c r="L1218" s="963">
        <f>SUM(J1218:K1218)</f>
        <v>1</v>
      </c>
    </row>
    <row r="1219" spans="1:16" x14ac:dyDescent="0.2">
      <c r="B1219" s="43"/>
      <c r="D1219" s="476"/>
      <c r="E1219" s="518"/>
      <c r="F1219" s="284"/>
      <c r="G1219" s="47" t="s">
        <v>37</v>
      </c>
      <c r="H1219" s="285"/>
      <c r="I1219" s="194" t="s">
        <v>38</v>
      </c>
      <c r="J1219" s="973">
        <f>SUM(J1218)</f>
        <v>1</v>
      </c>
      <c r="K1219" s="969"/>
      <c r="L1219" s="963">
        <f>SUM(J1218:K1218)</f>
        <v>1</v>
      </c>
    </row>
    <row r="1220" spans="1:16" ht="15" x14ac:dyDescent="0.25">
      <c r="B1220" s="43"/>
      <c r="D1220" s="476"/>
      <c r="E1220" s="518"/>
      <c r="F1220" s="284"/>
      <c r="G1220" s="41"/>
      <c r="H1220" s="288"/>
      <c r="I1220" s="202" t="s">
        <v>710</v>
      </c>
      <c r="J1220" s="978">
        <f>SUM(J1219)</f>
        <v>1</v>
      </c>
      <c r="K1220" s="969"/>
      <c r="L1220" s="969">
        <f>SUM(J1219:K1219)</f>
        <v>1</v>
      </c>
    </row>
    <row r="1221" spans="1:16" x14ac:dyDescent="0.2">
      <c r="B1221" s="43"/>
      <c r="D1221" s="476"/>
      <c r="E1221" s="518"/>
      <c r="F1221" s="284"/>
      <c r="G1221" s="41"/>
      <c r="H1221" s="285"/>
      <c r="I1221" s="24"/>
      <c r="J1221" s="198"/>
      <c r="K1221" s="27"/>
      <c r="L1221" s="53"/>
      <c r="M1221" s="991"/>
    </row>
    <row r="1222" spans="1:16" ht="22.5" x14ac:dyDescent="0.2">
      <c r="B1222" s="43"/>
      <c r="D1222" s="476"/>
      <c r="E1222" s="520" t="s">
        <v>251</v>
      </c>
      <c r="F1222" s="358"/>
      <c r="G1222" s="307"/>
      <c r="H1222" s="360"/>
      <c r="I1222" s="368" t="s">
        <v>839</v>
      </c>
      <c r="J1222" s="234"/>
      <c r="K1222" s="299"/>
      <c r="L1222" s="49"/>
      <c r="M1222" s="991"/>
    </row>
    <row r="1223" spans="1:16" x14ac:dyDescent="0.2">
      <c r="B1223" s="43"/>
      <c r="D1223" s="476"/>
      <c r="E1223" s="518"/>
      <c r="F1223" s="284">
        <v>220</v>
      </c>
      <c r="G1223" s="41"/>
      <c r="H1223" s="284">
        <v>511</v>
      </c>
      <c r="I1223" s="194" t="s">
        <v>20</v>
      </c>
      <c r="J1223" s="973">
        <v>1</v>
      </c>
      <c r="K1223" s="963"/>
      <c r="L1223" s="963">
        <f>SUM(J1223:K1223)</f>
        <v>1</v>
      </c>
    </row>
    <row r="1224" spans="1:16" s="165" customFormat="1" x14ac:dyDescent="0.2">
      <c r="A1224" s="44"/>
      <c r="B1224" s="43"/>
      <c r="C1224" s="43"/>
      <c r="D1224" s="476"/>
      <c r="E1224" s="518"/>
      <c r="F1224" s="284"/>
      <c r="G1224" s="47" t="s">
        <v>37</v>
      </c>
      <c r="H1224" s="285"/>
      <c r="I1224" s="194" t="s">
        <v>38</v>
      </c>
      <c r="J1224" s="973">
        <f>SUM(J1223)</f>
        <v>1</v>
      </c>
      <c r="K1224" s="969"/>
      <c r="L1224" s="963">
        <f>SUM(J1223:K1223)</f>
        <v>1</v>
      </c>
      <c r="M1224" s="992"/>
      <c r="N1224" s="834"/>
      <c r="O1224" s="163"/>
      <c r="P1224" s="832"/>
    </row>
    <row r="1225" spans="1:16" s="166" customFormat="1" ht="15" x14ac:dyDescent="0.25">
      <c r="A1225" s="44"/>
      <c r="B1225" s="43"/>
      <c r="C1225" s="43"/>
      <c r="D1225" s="476"/>
      <c r="E1225" s="518"/>
      <c r="F1225" s="284"/>
      <c r="G1225" s="41"/>
      <c r="H1225" s="288"/>
      <c r="I1225" s="202" t="s">
        <v>710</v>
      </c>
      <c r="J1225" s="978">
        <f>SUM(J1224)</f>
        <v>1</v>
      </c>
      <c r="K1225" s="969"/>
      <c r="L1225" s="969">
        <f>SUM(J1224:K1224)</f>
        <v>1</v>
      </c>
      <c r="M1225" s="992"/>
      <c r="N1225" s="826"/>
      <c r="O1225" s="164"/>
      <c r="P1225" s="143"/>
    </row>
    <row r="1226" spans="1:16" x14ac:dyDescent="0.2">
      <c r="B1226" s="43"/>
      <c r="D1226" s="476"/>
      <c r="E1226" s="518"/>
      <c r="F1226" s="284"/>
      <c r="G1226" s="41"/>
      <c r="H1226" s="285"/>
      <c r="I1226" s="24"/>
      <c r="J1226" s="198"/>
      <c r="K1226" s="27"/>
      <c r="L1226" s="53"/>
    </row>
    <row r="1227" spans="1:16" ht="22.5" x14ac:dyDescent="0.2">
      <c r="B1227" s="43"/>
      <c r="D1227" s="476"/>
      <c r="E1227" s="520" t="s">
        <v>251</v>
      </c>
      <c r="F1227" s="358"/>
      <c r="G1227" s="307"/>
      <c r="H1227" s="360"/>
      <c r="I1227" s="368" t="s">
        <v>838</v>
      </c>
      <c r="J1227" s="234"/>
      <c r="K1227" s="299"/>
      <c r="L1227" s="49"/>
    </row>
    <row r="1228" spans="1:16" x14ac:dyDescent="0.2">
      <c r="B1228" s="43"/>
      <c r="D1228" s="476"/>
      <c r="E1228" s="518"/>
      <c r="F1228" s="284">
        <v>221</v>
      </c>
      <c r="G1228" s="41"/>
      <c r="H1228" s="284">
        <v>511</v>
      </c>
      <c r="I1228" s="194" t="s">
        <v>20</v>
      </c>
      <c r="J1228" s="973">
        <v>1</v>
      </c>
      <c r="K1228" s="963"/>
      <c r="L1228" s="963">
        <f>SUM(J1228:K1228)</f>
        <v>1</v>
      </c>
    </row>
    <row r="1229" spans="1:16" ht="14.25" customHeight="1" x14ac:dyDescent="0.2">
      <c r="B1229" s="43"/>
      <c r="D1229" s="476"/>
      <c r="E1229" s="518"/>
      <c r="F1229" s="284"/>
      <c r="G1229" s="47" t="s">
        <v>37</v>
      </c>
      <c r="H1229" s="285"/>
      <c r="I1229" s="194" t="s">
        <v>38</v>
      </c>
      <c r="J1229" s="973">
        <f>SUM(J1228)</f>
        <v>1</v>
      </c>
      <c r="K1229" s="969"/>
      <c r="L1229" s="963">
        <f>SUM(J1228:K1228)</f>
        <v>1</v>
      </c>
    </row>
    <row r="1230" spans="1:16" ht="15" x14ac:dyDescent="0.25">
      <c r="B1230" s="43"/>
      <c r="D1230" s="476"/>
      <c r="E1230" s="518"/>
      <c r="F1230" s="284"/>
      <c r="G1230" s="41"/>
      <c r="H1230" s="288"/>
      <c r="I1230" s="202" t="s">
        <v>710</v>
      </c>
      <c r="J1230" s="978">
        <f>SUM(J1229)</f>
        <v>1</v>
      </c>
      <c r="K1230" s="969"/>
      <c r="L1230" s="969">
        <f>SUM(J1229:K1229)</f>
        <v>1</v>
      </c>
    </row>
    <row r="1231" spans="1:16" x14ac:dyDescent="0.2">
      <c r="B1231" s="43"/>
      <c r="D1231" s="476"/>
      <c r="E1231" s="518"/>
      <c r="F1231" s="284"/>
      <c r="G1231" s="41"/>
      <c r="H1231" s="285"/>
      <c r="I1231" s="24"/>
      <c r="J1231" s="198"/>
      <c r="K1231" s="27"/>
      <c r="L1231" s="53"/>
    </row>
    <row r="1232" spans="1:16" ht="33.75" x14ac:dyDescent="0.2">
      <c r="B1232" s="43"/>
      <c r="D1232" s="476"/>
      <c r="E1232" s="520" t="s">
        <v>251</v>
      </c>
      <c r="F1232" s="358"/>
      <c r="G1232" s="307"/>
      <c r="H1232" s="360"/>
      <c r="I1232" s="368" t="s">
        <v>837</v>
      </c>
      <c r="J1232" s="234"/>
      <c r="K1232" s="299"/>
      <c r="L1232" s="49"/>
    </row>
    <row r="1233" spans="2:13" x14ac:dyDescent="0.2">
      <c r="B1233" s="43"/>
      <c r="D1233" s="476"/>
      <c r="E1233" s="518"/>
      <c r="F1233" s="284">
        <v>222</v>
      </c>
      <c r="G1233" s="41"/>
      <c r="H1233" s="284">
        <v>511</v>
      </c>
      <c r="I1233" s="194" t="s">
        <v>20</v>
      </c>
      <c r="J1233" s="973">
        <v>1</v>
      </c>
      <c r="K1233" s="963"/>
      <c r="L1233" s="963">
        <f>SUM(J1233:K1233)</f>
        <v>1</v>
      </c>
    </row>
    <row r="1234" spans="2:13" x14ac:dyDescent="0.2">
      <c r="B1234" s="43"/>
      <c r="D1234" s="476"/>
      <c r="E1234" s="518"/>
      <c r="F1234" s="284"/>
      <c r="G1234" s="47" t="s">
        <v>37</v>
      </c>
      <c r="H1234" s="285"/>
      <c r="I1234" s="194" t="s">
        <v>38</v>
      </c>
      <c r="J1234" s="973">
        <f>SUM(J1233)</f>
        <v>1</v>
      </c>
      <c r="K1234" s="969"/>
      <c r="L1234" s="963">
        <f>SUM(J1233:K1233)</f>
        <v>1</v>
      </c>
    </row>
    <row r="1235" spans="2:13" ht="14.25" customHeight="1" x14ac:dyDescent="0.25">
      <c r="B1235" s="43"/>
      <c r="D1235" s="476"/>
      <c r="E1235" s="518"/>
      <c r="F1235" s="284"/>
      <c r="G1235" s="41"/>
      <c r="H1235" s="288"/>
      <c r="I1235" s="202" t="s">
        <v>710</v>
      </c>
      <c r="J1235" s="978">
        <f>SUM(J1234)</f>
        <v>1</v>
      </c>
      <c r="K1235" s="969"/>
      <c r="L1235" s="969">
        <f>SUM(J1234:K1234)</f>
        <v>1</v>
      </c>
    </row>
    <row r="1236" spans="2:13" x14ac:dyDescent="0.2">
      <c r="B1236" s="43"/>
      <c r="D1236" s="476"/>
      <c r="E1236" s="518"/>
      <c r="F1236" s="284"/>
      <c r="G1236" s="41"/>
      <c r="H1236" s="285"/>
      <c r="I1236" s="24"/>
      <c r="J1236" s="198"/>
      <c r="K1236" s="27"/>
      <c r="L1236" s="53"/>
    </row>
    <row r="1237" spans="2:13" ht="25.5" customHeight="1" x14ac:dyDescent="0.2">
      <c r="B1237" s="43"/>
      <c r="D1237" s="476"/>
      <c r="E1237" s="520" t="s">
        <v>251</v>
      </c>
      <c r="F1237" s="358"/>
      <c r="G1237" s="307"/>
      <c r="H1237" s="360"/>
      <c r="I1237" s="312" t="s">
        <v>836</v>
      </c>
      <c r="J1237" s="232"/>
      <c r="K1237" s="71"/>
      <c r="L1237" s="233"/>
    </row>
    <row r="1238" spans="2:13" ht="15.75" customHeight="1" x14ac:dyDescent="0.2">
      <c r="B1238" s="43"/>
      <c r="D1238" s="476"/>
      <c r="E1238" s="518"/>
      <c r="F1238" s="284">
        <v>223</v>
      </c>
      <c r="G1238" s="41"/>
      <c r="H1238" s="284">
        <v>511</v>
      </c>
      <c r="I1238" s="262" t="s">
        <v>20</v>
      </c>
      <c r="J1238" s="973">
        <v>1</v>
      </c>
      <c r="K1238" s="963"/>
      <c r="L1238" s="963">
        <f>SUM(J1238:K1238)</f>
        <v>1</v>
      </c>
    </row>
    <row r="1239" spans="2:13" ht="16.5" customHeight="1" x14ac:dyDescent="0.2">
      <c r="B1239" s="43"/>
      <c r="D1239" s="476"/>
      <c r="E1239" s="518"/>
      <c r="F1239" s="284"/>
      <c r="G1239" s="47" t="s">
        <v>37</v>
      </c>
      <c r="H1239" s="285"/>
      <c r="I1239" s="194" t="s">
        <v>38</v>
      </c>
      <c r="J1239" s="973">
        <f>SUM(J1238)</f>
        <v>1</v>
      </c>
      <c r="K1239" s="969"/>
      <c r="L1239" s="963">
        <f>SUM(J1238:K1238)</f>
        <v>1</v>
      </c>
    </row>
    <row r="1240" spans="2:13" ht="20.25" customHeight="1" x14ac:dyDescent="0.25">
      <c r="B1240" s="43"/>
      <c r="D1240" s="476"/>
      <c r="E1240" s="518"/>
      <c r="F1240" s="284"/>
      <c r="G1240" s="41"/>
      <c r="H1240" s="288"/>
      <c r="I1240" s="202" t="s">
        <v>710</v>
      </c>
      <c r="J1240" s="978">
        <f>SUM(J1239)</f>
        <v>1</v>
      </c>
      <c r="K1240" s="969"/>
      <c r="L1240" s="969">
        <f>SUM(J1239:K1239)</f>
        <v>1</v>
      </c>
    </row>
    <row r="1241" spans="2:13" ht="18" customHeight="1" x14ac:dyDescent="0.2">
      <c r="B1241" s="43"/>
      <c r="D1241" s="476"/>
      <c r="E1241" s="518"/>
      <c r="F1241" s="284"/>
      <c r="G1241" s="41"/>
      <c r="H1241" s="285"/>
      <c r="I1241" s="24"/>
      <c r="J1241" s="984"/>
      <c r="K1241" s="985"/>
      <c r="L1241" s="986"/>
    </row>
    <row r="1242" spans="2:13" ht="35.25" customHeight="1" x14ac:dyDescent="0.2">
      <c r="B1242" s="43"/>
      <c r="D1242" s="476"/>
      <c r="E1242" s="520" t="s">
        <v>251</v>
      </c>
      <c r="F1242" s="358"/>
      <c r="G1242" s="307"/>
      <c r="H1242" s="360"/>
      <c r="I1242" s="368" t="s">
        <v>892</v>
      </c>
      <c r="J1242" s="234"/>
      <c r="K1242" s="299"/>
      <c r="L1242" s="49"/>
    </row>
    <row r="1243" spans="2:13" ht="15" customHeight="1" x14ac:dyDescent="0.2">
      <c r="B1243" s="43"/>
      <c r="D1243" s="476"/>
      <c r="E1243" s="518"/>
      <c r="F1243" s="284">
        <v>224</v>
      </c>
      <c r="G1243" s="41"/>
      <c r="H1243" s="284">
        <v>511</v>
      </c>
      <c r="I1243" s="194" t="s">
        <v>20</v>
      </c>
      <c r="J1243" s="973">
        <v>1</v>
      </c>
      <c r="K1243" s="963"/>
      <c r="L1243" s="963">
        <f>SUM(J1243:K1243)</f>
        <v>1</v>
      </c>
    </row>
    <row r="1244" spans="2:13" ht="15" customHeight="1" x14ac:dyDescent="0.2">
      <c r="B1244" s="43"/>
      <c r="D1244" s="476"/>
      <c r="E1244" s="518"/>
      <c r="F1244" s="284"/>
      <c r="G1244" s="47" t="s">
        <v>37</v>
      </c>
      <c r="H1244" s="285"/>
      <c r="I1244" s="194" t="s">
        <v>38</v>
      </c>
      <c r="J1244" s="973">
        <f>SUM(J1243)</f>
        <v>1</v>
      </c>
      <c r="K1244" s="969"/>
      <c r="L1244" s="963">
        <f>SUM(J1243:K1243)</f>
        <v>1</v>
      </c>
    </row>
    <row r="1245" spans="2:13" ht="15" customHeight="1" x14ac:dyDescent="0.2">
      <c r="B1245" s="43"/>
      <c r="D1245" s="476"/>
      <c r="E1245" s="518"/>
      <c r="F1245" s="284"/>
      <c r="G1245" s="41"/>
      <c r="H1245" s="285"/>
      <c r="I1245" s="202" t="s">
        <v>710</v>
      </c>
      <c r="J1245" s="978">
        <f>SUM(J1244)</f>
        <v>1</v>
      </c>
      <c r="K1245" s="969"/>
      <c r="L1245" s="969">
        <f>SUM(J1244:K1244)</f>
        <v>1</v>
      </c>
    </row>
    <row r="1246" spans="2:13" ht="17.25" customHeight="1" x14ac:dyDescent="0.2">
      <c r="B1246" s="43"/>
      <c r="D1246" s="476"/>
      <c r="E1246" s="518"/>
      <c r="F1246" s="284"/>
      <c r="G1246" s="41"/>
      <c r="H1246" s="285"/>
      <c r="I1246" s="24"/>
      <c r="J1246" s="198"/>
      <c r="K1246" s="27"/>
      <c r="L1246" s="53"/>
    </row>
    <row r="1247" spans="2:13" x14ac:dyDescent="0.2">
      <c r="B1247" s="43"/>
      <c r="D1247" s="476"/>
      <c r="E1247" s="520" t="s">
        <v>251</v>
      </c>
      <c r="F1247" s="358"/>
      <c r="G1247" s="307"/>
      <c r="H1247" s="360"/>
      <c r="I1247" s="368" t="s">
        <v>771</v>
      </c>
      <c r="J1247" s="234"/>
      <c r="K1247" s="299"/>
      <c r="L1247" s="49"/>
      <c r="M1247" s="1014"/>
    </row>
    <row r="1248" spans="2:13" x14ac:dyDescent="0.2">
      <c r="B1248" s="43"/>
      <c r="D1248" s="476"/>
      <c r="E1248" s="518"/>
      <c r="F1248" s="284">
        <v>225</v>
      </c>
      <c r="G1248" s="41"/>
      <c r="H1248" s="284">
        <v>513</v>
      </c>
      <c r="I1248" s="194" t="s">
        <v>22</v>
      </c>
      <c r="J1248" s="56">
        <v>500000</v>
      </c>
      <c r="K1248" s="51"/>
      <c r="L1248" s="51">
        <f>SUM(J1248:K1248)</f>
        <v>500000</v>
      </c>
    </row>
    <row r="1249" spans="1:16" x14ac:dyDescent="0.2">
      <c r="B1249" s="43"/>
      <c r="D1249" s="476"/>
      <c r="E1249" s="518"/>
      <c r="F1249" s="284"/>
      <c r="G1249" s="47" t="s">
        <v>37</v>
      </c>
      <c r="H1249" s="285"/>
      <c r="I1249" s="194" t="s">
        <v>38</v>
      </c>
      <c r="J1249" s="56">
        <f>SUM(J1248)</f>
        <v>500000</v>
      </c>
      <c r="K1249" s="52"/>
      <c r="L1249" s="51">
        <f>SUM(J1248:K1248)</f>
        <v>500000</v>
      </c>
    </row>
    <row r="1250" spans="1:16" s="165" customFormat="1" ht="15" x14ac:dyDescent="0.25">
      <c r="A1250" s="44"/>
      <c r="B1250" s="43"/>
      <c r="C1250" s="43"/>
      <c r="D1250" s="476"/>
      <c r="E1250" s="518"/>
      <c r="F1250" s="284"/>
      <c r="G1250" s="41"/>
      <c r="H1250" s="288"/>
      <c r="I1250" s="202" t="s">
        <v>710</v>
      </c>
      <c r="J1250" s="48">
        <f>SUM(J1249)</f>
        <v>500000</v>
      </c>
      <c r="K1250" s="52"/>
      <c r="L1250" s="52">
        <f>SUM(J1249:K1249)</f>
        <v>500000</v>
      </c>
      <c r="M1250" s="992"/>
      <c r="N1250" s="834"/>
      <c r="O1250" s="163"/>
      <c r="P1250" s="832"/>
    </row>
    <row r="1251" spans="1:16" s="165" customFormat="1" x14ac:dyDescent="0.2">
      <c r="A1251" s="44"/>
      <c r="B1251" s="43"/>
      <c r="C1251" s="43"/>
      <c r="D1251" s="476"/>
      <c r="E1251" s="518"/>
      <c r="F1251" s="284"/>
      <c r="G1251" s="41"/>
      <c r="H1251" s="285"/>
      <c r="I1251" s="24"/>
      <c r="J1251" s="198"/>
      <c r="K1251" s="27"/>
      <c r="L1251" s="53"/>
      <c r="M1251" s="992"/>
      <c r="N1251" s="834"/>
      <c r="O1251" s="163"/>
      <c r="P1251" s="832"/>
    </row>
    <row r="1252" spans="1:16" ht="33.75" x14ac:dyDescent="0.2">
      <c r="B1252" s="43"/>
      <c r="D1252" s="476"/>
      <c r="E1252" s="520" t="s">
        <v>251</v>
      </c>
      <c r="F1252" s="358"/>
      <c r="G1252" s="307"/>
      <c r="H1252" s="360"/>
      <c r="I1252" s="368" t="s">
        <v>770</v>
      </c>
      <c r="J1252" s="234"/>
      <c r="K1252" s="299"/>
      <c r="L1252" s="49"/>
    </row>
    <row r="1253" spans="1:16" x14ac:dyDescent="0.2">
      <c r="B1253" s="43"/>
      <c r="D1253" s="476"/>
      <c r="E1253" s="518"/>
      <c r="F1253" s="284">
        <v>226</v>
      </c>
      <c r="G1253" s="41"/>
      <c r="H1253" s="284">
        <v>511</v>
      </c>
      <c r="I1253" s="194" t="s">
        <v>20</v>
      </c>
      <c r="J1253" s="989">
        <v>1</v>
      </c>
      <c r="K1253" s="956"/>
      <c r="L1253" s="956">
        <f>SUM(J1253:K1253)</f>
        <v>1</v>
      </c>
    </row>
    <row r="1254" spans="1:16" x14ac:dyDescent="0.2">
      <c r="B1254" s="43"/>
      <c r="D1254" s="476"/>
      <c r="E1254" s="518"/>
      <c r="F1254" s="284"/>
      <c r="G1254" s="47" t="s">
        <v>37</v>
      </c>
      <c r="H1254" s="285"/>
      <c r="I1254" s="194" t="s">
        <v>38</v>
      </c>
      <c r="J1254" s="989">
        <f>SUM(J1253)</f>
        <v>1</v>
      </c>
      <c r="K1254" s="957"/>
      <c r="L1254" s="956">
        <f>SUM(J1253:K1253)</f>
        <v>1</v>
      </c>
      <c r="M1254" s="1014"/>
    </row>
    <row r="1255" spans="1:16" x14ac:dyDescent="0.2">
      <c r="B1255" s="43"/>
      <c r="D1255" s="476"/>
      <c r="E1255" s="518"/>
      <c r="F1255" s="284"/>
      <c r="G1255" s="41"/>
      <c r="H1255" s="285"/>
      <c r="I1255" s="202" t="s">
        <v>710</v>
      </c>
      <c r="J1255" s="990">
        <f>SUM(J1254)</f>
        <v>1</v>
      </c>
      <c r="K1255" s="957"/>
      <c r="L1255" s="957">
        <f>SUM(J1254:K1254)</f>
        <v>1</v>
      </c>
    </row>
    <row r="1256" spans="1:16" x14ac:dyDescent="0.2">
      <c r="B1256" s="43"/>
      <c r="D1256" s="476"/>
      <c r="E1256" s="518"/>
      <c r="F1256" s="284"/>
      <c r="G1256" s="41"/>
      <c r="H1256" s="285"/>
      <c r="I1256" s="24"/>
      <c r="J1256" s="198"/>
      <c r="K1256" s="27"/>
      <c r="L1256" s="53"/>
    </row>
    <row r="1257" spans="1:16" ht="22.5" x14ac:dyDescent="0.2">
      <c r="B1257" s="43"/>
      <c r="D1257" s="476"/>
      <c r="E1257" s="520" t="s">
        <v>251</v>
      </c>
      <c r="F1257" s="358"/>
      <c r="G1257" s="307"/>
      <c r="H1257" s="360"/>
      <c r="I1257" s="368" t="s">
        <v>769</v>
      </c>
      <c r="J1257" s="234"/>
      <c r="K1257" s="299"/>
      <c r="L1257" s="49"/>
    </row>
    <row r="1258" spans="1:16" s="165" customFormat="1" x14ac:dyDescent="0.2">
      <c r="A1258" s="44"/>
      <c r="B1258" s="43"/>
      <c r="C1258" s="43"/>
      <c r="D1258" s="476"/>
      <c r="E1258" s="518"/>
      <c r="F1258" s="284">
        <v>227</v>
      </c>
      <c r="G1258" s="41"/>
      <c r="H1258" s="284">
        <v>511</v>
      </c>
      <c r="I1258" s="194" t="s">
        <v>20</v>
      </c>
      <c r="J1258" s="973">
        <v>1</v>
      </c>
      <c r="K1258" s="963"/>
      <c r="L1258" s="963">
        <f>SUM(J1258:K1258)</f>
        <v>1</v>
      </c>
      <c r="M1258" s="992"/>
      <c r="N1258" s="898"/>
      <c r="O1258" s="163"/>
      <c r="P1258" s="832"/>
    </row>
    <row r="1259" spans="1:16" x14ac:dyDescent="0.2">
      <c r="B1259" s="43"/>
      <c r="D1259" s="476"/>
      <c r="E1259" s="518"/>
      <c r="F1259" s="284"/>
      <c r="G1259" s="47" t="s">
        <v>37</v>
      </c>
      <c r="H1259" s="285"/>
      <c r="I1259" s="194" t="s">
        <v>38</v>
      </c>
      <c r="J1259" s="973">
        <f>SUM(J1258:J1258)</f>
        <v>1</v>
      </c>
      <c r="K1259" s="969"/>
      <c r="L1259" s="963">
        <f>SUM(J1258:K1258)</f>
        <v>1</v>
      </c>
    </row>
    <row r="1260" spans="1:16" ht="15" x14ac:dyDescent="0.25">
      <c r="B1260" s="43"/>
      <c r="D1260" s="476"/>
      <c r="E1260" s="518"/>
      <c r="F1260" s="284"/>
      <c r="G1260" s="41"/>
      <c r="H1260" s="288"/>
      <c r="I1260" s="202" t="s">
        <v>710</v>
      </c>
      <c r="J1260" s="978">
        <f>SUM(J1259)</f>
        <v>1</v>
      </c>
      <c r="K1260" s="969"/>
      <c r="L1260" s="969">
        <f>SUM(J1259:K1259)</f>
        <v>1</v>
      </c>
    </row>
    <row r="1261" spans="1:16" x14ac:dyDescent="0.2">
      <c r="B1261" s="43"/>
      <c r="D1261" s="476"/>
      <c r="E1261" s="518"/>
      <c r="F1261" s="284"/>
      <c r="G1261" s="41"/>
      <c r="H1261" s="285"/>
      <c r="I1261" s="17"/>
      <c r="J1261" s="198"/>
      <c r="K1261" s="27"/>
      <c r="L1261" s="53"/>
    </row>
    <row r="1262" spans="1:16" ht="22.5" x14ac:dyDescent="0.2">
      <c r="B1262" s="43"/>
      <c r="D1262" s="476"/>
      <c r="E1262" s="520" t="s">
        <v>251</v>
      </c>
      <c r="F1262" s="358"/>
      <c r="G1262" s="307"/>
      <c r="H1262" s="360"/>
      <c r="I1262" s="368" t="s">
        <v>768</v>
      </c>
      <c r="J1262" s="234"/>
      <c r="K1262" s="299"/>
      <c r="L1262" s="49"/>
    </row>
    <row r="1263" spans="1:16" x14ac:dyDescent="0.2">
      <c r="B1263" s="43"/>
      <c r="D1263" s="476"/>
      <c r="E1263" s="518"/>
      <c r="F1263" s="284">
        <v>228</v>
      </c>
      <c r="G1263" s="41"/>
      <c r="H1263" s="284">
        <v>511</v>
      </c>
      <c r="I1263" s="194" t="s">
        <v>20</v>
      </c>
      <c r="J1263" s="56">
        <v>1000</v>
      </c>
      <c r="K1263" s="51"/>
      <c r="L1263" s="51">
        <f>SUM(J1263:K1263)</f>
        <v>1000</v>
      </c>
      <c r="N1263" s="898"/>
    </row>
    <row r="1264" spans="1:16" x14ac:dyDescent="0.2">
      <c r="B1264" s="43"/>
      <c r="D1264" s="476"/>
      <c r="E1264" s="518"/>
      <c r="F1264" s="284"/>
      <c r="G1264" s="47" t="s">
        <v>37</v>
      </c>
      <c r="H1264" s="285"/>
      <c r="I1264" s="194" t="s">
        <v>38</v>
      </c>
      <c r="J1264" s="56">
        <f>SUM(J1263:J1263)</f>
        <v>1000</v>
      </c>
      <c r="K1264" s="52"/>
      <c r="L1264" s="51">
        <f>SUM(J1263:K1263)</f>
        <v>1000</v>
      </c>
    </row>
    <row r="1265" spans="2:14" ht="15" x14ac:dyDescent="0.25">
      <c r="B1265" s="43"/>
      <c r="D1265" s="476"/>
      <c r="E1265" s="518"/>
      <c r="F1265" s="284"/>
      <c r="G1265" s="41"/>
      <c r="H1265" s="288"/>
      <c r="I1265" s="202" t="s">
        <v>710</v>
      </c>
      <c r="J1265" s="48">
        <f>SUM(J1264)</f>
        <v>1000</v>
      </c>
      <c r="K1265" s="52"/>
      <c r="L1265" s="52">
        <f>SUM(J1264:K1264)</f>
        <v>1000</v>
      </c>
    </row>
    <row r="1266" spans="2:14" ht="15" x14ac:dyDescent="0.25">
      <c r="B1266" s="43"/>
      <c r="D1266" s="476"/>
      <c r="E1266" s="518"/>
      <c r="F1266" s="284"/>
      <c r="G1266" s="41"/>
      <c r="H1266" s="287"/>
      <c r="I1266" s="17"/>
      <c r="J1266" s="198"/>
      <c r="K1266" s="27"/>
      <c r="L1266" s="53"/>
    </row>
    <row r="1267" spans="2:14" ht="22.5" x14ac:dyDescent="0.2">
      <c r="B1267" s="43"/>
      <c r="D1267" s="476"/>
      <c r="E1267" s="872" t="s">
        <v>251</v>
      </c>
      <c r="F1267" s="873"/>
      <c r="G1267" s="874"/>
      <c r="H1267" s="875"/>
      <c r="I1267" s="899" t="s">
        <v>951</v>
      </c>
      <c r="J1267" s="900"/>
      <c r="K1267" s="189"/>
      <c r="L1267" s="901"/>
    </row>
    <row r="1268" spans="2:14" x14ac:dyDescent="0.2">
      <c r="B1268" s="43"/>
      <c r="D1268" s="476"/>
      <c r="E1268" s="879"/>
      <c r="F1268" s="880" t="s">
        <v>980</v>
      </c>
      <c r="G1268" s="881"/>
      <c r="H1268" s="882" t="s">
        <v>46</v>
      </c>
      <c r="I1268" s="883" t="s">
        <v>10</v>
      </c>
      <c r="J1268" s="884">
        <v>200000</v>
      </c>
      <c r="K1268" s="885"/>
      <c r="L1268" s="886">
        <f>SUM(J1268:K1268)</f>
        <v>200000</v>
      </c>
    </row>
    <row r="1269" spans="2:14" x14ac:dyDescent="0.2">
      <c r="B1269" s="43"/>
      <c r="D1269" s="476"/>
      <c r="E1269" s="769"/>
      <c r="F1269" s="770">
        <v>229</v>
      </c>
      <c r="G1269" s="771"/>
      <c r="H1269" s="772" t="s">
        <v>270</v>
      </c>
      <c r="I1269" s="902" t="s">
        <v>20</v>
      </c>
      <c r="J1269" s="840">
        <f>55001000</f>
        <v>55001000</v>
      </c>
      <c r="K1269" s="839"/>
      <c r="L1269" s="188">
        <f>SUM(J1269:K1269)</f>
        <v>55001000</v>
      </c>
      <c r="N1269" s="845"/>
    </row>
    <row r="1270" spans="2:14" x14ac:dyDescent="0.2">
      <c r="B1270" s="43"/>
      <c r="D1270" s="476"/>
      <c r="E1270" s="769"/>
      <c r="F1270" s="770"/>
      <c r="G1270" s="887" t="s">
        <v>37</v>
      </c>
      <c r="H1270" s="770"/>
      <c r="I1270" s="838" t="s">
        <v>38</v>
      </c>
      <c r="J1270" s="840">
        <f>SUM(J1272-J1271)</f>
        <v>55200000</v>
      </c>
      <c r="K1270" s="839"/>
      <c r="L1270" s="188">
        <f t="shared" ref="L1270:L1272" si="63">SUM(J1270:K1270)</f>
        <v>55200000</v>
      </c>
    </row>
    <row r="1271" spans="2:14" x14ac:dyDescent="0.2">
      <c r="B1271" s="43"/>
      <c r="D1271" s="476"/>
      <c r="E1271" s="769"/>
      <c r="F1271" s="770"/>
      <c r="G1271" s="887" t="s">
        <v>113</v>
      </c>
      <c r="H1271" s="772"/>
      <c r="I1271" s="838" t="s">
        <v>418</v>
      </c>
      <c r="J1271" s="840">
        <v>1000</v>
      </c>
      <c r="K1271" s="839"/>
      <c r="L1271" s="188">
        <f t="shared" si="63"/>
        <v>1000</v>
      </c>
    </row>
    <row r="1272" spans="2:14" ht="15" x14ac:dyDescent="0.25">
      <c r="B1272" s="43"/>
      <c r="D1272" s="476"/>
      <c r="E1272" s="769"/>
      <c r="F1272" s="770"/>
      <c r="G1272" s="771"/>
      <c r="H1272" s="888"/>
      <c r="I1272" s="889" t="s">
        <v>710</v>
      </c>
      <c r="J1272" s="896">
        <f>SUM(J1268+J1269)</f>
        <v>55201000</v>
      </c>
      <c r="K1272" s="839"/>
      <c r="L1272" s="839">
        <f t="shared" si="63"/>
        <v>55201000</v>
      </c>
    </row>
    <row r="1273" spans="2:14" x14ac:dyDescent="0.2">
      <c r="B1273" s="43"/>
      <c r="D1273" s="476"/>
      <c r="E1273" s="518"/>
      <c r="F1273" s="284"/>
      <c r="G1273" s="41"/>
      <c r="H1273" s="285"/>
      <c r="I1273" s="17"/>
      <c r="J1273" s="198"/>
      <c r="K1273" s="27"/>
      <c r="L1273" s="53"/>
    </row>
    <row r="1274" spans="2:14" ht="22.5" x14ac:dyDescent="0.2">
      <c r="B1274" s="43"/>
      <c r="D1274" s="476"/>
      <c r="E1274" s="520" t="s">
        <v>251</v>
      </c>
      <c r="F1274" s="358"/>
      <c r="G1274" s="307"/>
      <c r="H1274" s="423"/>
      <c r="I1274" s="368" t="s">
        <v>767</v>
      </c>
      <c r="J1274" s="346"/>
      <c r="K1274" s="67"/>
      <c r="L1274" s="192"/>
    </row>
    <row r="1275" spans="2:14" x14ac:dyDescent="0.2">
      <c r="B1275" s="43"/>
      <c r="D1275" s="476"/>
      <c r="E1275" s="518"/>
      <c r="F1275" s="284">
        <v>230</v>
      </c>
      <c r="G1275" s="41"/>
      <c r="H1275" s="284">
        <v>511</v>
      </c>
      <c r="I1275" s="194" t="s">
        <v>20</v>
      </c>
      <c r="J1275" s="56">
        <v>500000</v>
      </c>
      <c r="K1275" s="51"/>
      <c r="L1275" s="51">
        <f>SUM(J1275:K1275)</f>
        <v>500000</v>
      </c>
    </row>
    <row r="1276" spans="2:14" x14ac:dyDescent="0.2">
      <c r="B1276" s="43"/>
      <c r="D1276" s="476"/>
      <c r="E1276" s="518"/>
      <c r="F1276" s="284"/>
      <c r="G1276" s="47" t="s">
        <v>37</v>
      </c>
      <c r="H1276" s="285"/>
      <c r="I1276" s="194" t="s">
        <v>38</v>
      </c>
      <c r="J1276" s="56">
        <f>SUM(J1275)</f>
        <v>500000</v>
      </c>
      <c r="K1276" s="51"/>
      <c r="L1276" s="51">
        <f>SUM(J1275:K1275)</f>
        <v>500000</v>
      </c>
    </row>
    <row r="1277" spans="2:14" x14ac:dyDescent="0.2">
      <c r="E1277" s="518"/>
      <c r="F1277" s="284"/>
      <c r="G1277" s="41"/>
      <c r="H1277" s="286"/>
      <c r="I1277" s="202" t="s">
        <v>710</v>
      </c>
      <c r="J1277" s="48">
        <f>SUM(J1276)</f>
        <v>500000</v>
      </c>
      <c r="K1277" s="52"/>
      <c r="L1277" s="52">
        <f>SUM(L1276)</f>
        <v>500000</v>
      </c>
    </row>
    <row r="1278" spans="2:14" x14ac:dyDescent="0.2">
      <c r="B1278" s="43"/>
      <c r="D1278" s="476"/>
      <c r="E1278" s="518"/>
      <c r="F1278" s="284"/>
      <c r="G1278" s="41"/>
      <c r="H1278" s="285"/>
      <c r="I1278" s="26"/>
      <c r="J1278" s="333"/>
      <c r="K1278" s="333"/>
      <c r="L1278" s="334"/>
    </row>
    <row r="1279" spans="2:14" x14ac:dyDescent="0.2">
      <c r="B1279" s="43"/>
      <c r="D1279" s="476"/>
      <c r="E1279" s="520" t="s">
        <v>251</v>
      </c>
      <c r="F1279" s="358"/>
      <c r="G1279" s="307"/>
      <c r="H1279" s="423"/>
      <c r="I1279" s="312" t="s">
        <v>766</v>
      </c>
      <c r="J1279" s="347"/>
      <c r="K1279" s="109"/>
      <c r="L1279" s="205"/>
    </row>
    <row r="1280" spans="2:14" x14ac:dyDescent="0.2">
      <c r="B1280" s="43"/>
      <c r="D1280" s="476"/>
      <c r="E1280" s="518"/>
      <c r="F1280" s="284">
        <v>231</v>
      </c>
      <c r="G1280" s="41"/>
      <c r="H1280" s="284">
        <v>511</v>
      </c>
      <c r="I1280" s="194" t="s">
        <v>20</v>
      </c>
      <c r="J1280" s="973">
        <v>1</v>
      </c>
      <c r="K1280" s="963"/>
      <c r="L1280" s="963">
        <f>SUM(J1280:K1280)</f>
        <v>1</v>
      </c>
    </row>
    <row r="1281" spans="1:16" x14ac:dyDescent="0.2">
      <c r="B1281" s="43"/>
      <c r="D1281" s="476"/>
      <c r="E1281" s="518"/>
      <c r="F1281" s="284"/>
      <c r="G1281" s="47" t="s">
        <v>37</v>
      </c>
      <c r="H1281" s="285"/>
      <c r="I1281" s="194" t="s">
        <v>38</v>
      </c>
      <c r="J1281" s="973">
        <f>SUM(J1280:J1280)</f>
        <v>1</v>
      </c>
      <c r="K1281" s="963"/>
      <c r="L1281" s="963">
        <f>SUM(J1280:K1280)</f>
        <v>1</v>
      </c>
      <c r="M1281" s="1014"/>
    </row>
    <row r="1282" spans="1:16" ht="15" x14ac:dyDescent="0.25">
      <c r="E1282" s="518"/>
      <c r="F1282" s="284"/>
      <c r="G1282" s="41"/>
      <c r="H1282" s="288"/>
      <c r="I1282" s="202" t="s">
        <v>710</v>
      </c>
      <c r="J1282" s="978">
        <f>SUM(J1281)</f>
        <v>1</v>
      </c>
      <c r="K1282" s="969"/>
      <c r="L1282" s="969">
        <f>SUM(L1281)</f>
        <v>1</v>
      </c>
    </row>
    <row r="1283" spans="1:16" x14ac:dyDescent="0.2">
      <c r="B1283" s="43"/>
      <c r="D1283" s="476"/>
      <c r="E1283" s="518"/>
      <c r="F1283" s="284"/>
      <c r="G1283" s="41"/>
      <c r="H1283" s="285"/>
      <c r="I1283" s="26"/>
      <c r="J1283" s="987"/>
      <c r="K1283" s="987"/>
      <c r="L1283" s="988"/>
    </row>
    <row r="1284" spans="1:16" ht="22.5" x14ac:dyDescent="0.2">
      <c r="B1284" s="43"/>
      <c r="D1284" s="476"/>
      <c r="E1284" s="520" t="s">
        <v>251</v>
      </c>
      <c r="F1284" s="358"/>
      <c r="G1284" s="307"/>
      <c r="H1284" s="360"/>
      <c r="I1284" s="368" t="s">
        <v>765</v>
      </c>
      <c r="J1284" s="234"/>
      <c r="K1284" s="299"/>
      <c r="L1284" s="49"/>
    </row>
    <row r="1285" spans="1:16" s="165" customFormat="1" x14ac:dyDescent="0.2">
      <c r="A1285" s="44"/>
      <c r="B1285" s="43"/>
      <c r="C1285" s="43"/>
      <c r="D1285" s="476"/>
      <c r="E1285" s="518"/>
      <c r="F1285" s="284">
        <v>232</v>
      </c>
      <c r="G1285" s="41"/>
      <c r="H1285" s="284">
        <v>511</v>
      </c>
      <c r="I1285" s="194" t="s">
        <v>20</v>
      </c>
      <c r="J1285" s="56">
        <v>600000</v>
      </c>
      <c r="K1285" s="51"/>
      <c r="L1285" s="51">
        <f>SUM(J1285:K1285)</f>
        <v>600000</v>
      </c>
      <c r="M1285" s="992"/>
      <c r="N1285" s="834"/>
      <c r="O1285" s="163"/>
      <c r="P1285" s="832"/>
    </row>
    <row r="1286" spans="1:16" x14ac:dyDescent="0.2">
      <c r="B1286" s="43"/>
      <c r="D1286" s="476"/>
      <c r="E1286" s="518"/>
      <c r="F1286" s="284"/>
      <c r="G1286" s="47" t="s">
        <v>37</v>
      </c>
      <c r="H1286" s="285"/>
      <c r="I1286" s="194" t="s">
        <v>38</v>
      </c>
      <c r="J1286" s="56">
        <f>SUM(J1285)</f>
        <v>600000</v>
      </c>
      <c r="K1286" s="52"/>
      <c r="L1286" s="51">
        <f>SUM(J1285:K1285)</f>
        <v>600000</v>
      </c>
    </row>
    <row r="1287" spans="1:16" ht="15" x14ac:dyDescent="0.25">
      <c r="B1287" s="43"/>
      <c r="D1287" s="476"/>
      <c r="E1287" s="518"/>
      <c r="F1287" s="284"/>
      <c r="G1287" s="41"/>
      <c r="H1287" s="288"/>
      <c r="I1287" s="202" t="s">
        <v>704</v>
      </c>
      <c r="J1287" s="48">
        <f>SUM(J1286)</f>
        <v>600000</v>
      </c>
      <c r="K1287" s="52"/>
      <c r="L1287" s="52">
        <f>SUM(J1286:K1286)</f>
        <v>600000</v>
      </c>
    </row>
    <row r="1288" spans="1:16" x14ac:dyDescent="0.2">
      <c r="B1288" s="43"/>
      <c r="D1288" s="476"/>
      <c r="E1288" s="518"/>
      <c r="F1288" s="284"/>
      <c r="G1288" s="41"/>
      <c r="H1288" s="285"/>
      <c r="I1288" s="24"/>
      <c r="J1288" s="198"/>
      <c r="K1288" s="27"/>
      <c r="L1288" s="53"/>
    </row>
    <row r="1289" spans="1:16" x14ac:dyDescent="0.2">
      <c r="B1289" s="43"/>
      <c r="D1289" s="476"/>
      <c r="E1289" s="520" t="s">
        <v>251</v>
      </c>
      <c r="F1289" s="358"/>
      <c r="G1289" s="307"/>
      <c r="H1289" s="360"/>
      <c r="I1289" s="312" t="s">
        <v>764</v>
      </c>
      <c r="J1289" s="232"/>
      <c r="K1289" s="71"/>
      <c r="L1289" s="233"/>
    </row>
    <row r="1290" spans="1:16" x14ac:dyDescent="0.2">
      <c r="B1290" s="43"/>
      <c r="D1290" s="476"/>
      <c r="E1290" s="518"/>
      <c r="F1290" s="284">
        <v>233</v>
      </c>
      <c r="G1290" s="41"/>
      <c r="H1290" s="284">
        <v>511</v>
      </c>
      <c r="I1290" s="194" t="s">
        <v>20</v>
      </c>
      <c r="J1290" s="973">
        <v>1</v>
      </c>
      <c r="K1290" s="963"/>
      <c r="L1290" s="963">
        <f>SUM(J1290:K1290)</f>
        <v>1</v>
      </c>
      <c r="N1290" s="845"/>
    </row>
    <row r="1291" spans="1:16" x14ac:dyDescent="0.2">
      <c r="B1291" s="43"/>
      <c r="D1291" s="476"/>
      <c r="E1291" s="518"/>
      <c r="F1291" s="284"/>
      <c r="G1291" s="47" t="s">
        <v>37</v>
      </c>
      <c r="H1291" s="406"/>
      <c r="I1291" s="194" t="s">
        <v>38</v>
      </c>
      <c r="J1291" s="973">
        <f>SUM(J1290:J1290)</f>
        <v>1</v>
      </c>
      <c r="K1291" s="969"/>
      <c r="L1291" s="963">
        <f>SUM(J1290:K1290)</f>
        <v>1</v>
      </c>
    </row>
    <row r="1292" spans="1:16" ht="15" x14ac:dyDescent="0.25">
      <c r="B1292" s="43"/>
      <c r="D1292" s="476"/>
      <c r="E1292" s="518"/>
      <c r="F1292" s="284"/>
      <c r="G1292" s="41"/>
      <c r="H1292" s="288"/>
      <c r="I1292" s="57" t="s">
        <v>710</v>
      </c>
      <c r="J1292" s="978">
        <f>SUM(J1291)</f>
        <v>1</v>
      </c>
      <c r="K1292" s="969"/>
      <c r="L1292" s="969">
        <f>SUM(J1291:K1291)</f>
        <v>1</v>
      </c>
    </row>
    <row r="1293" spans="1:16" x14ac:dyDescent="0.2">
      <c r="B1293" s="43"/>
      <c r="D1293" s="476"/>
      <c r="E1293" s="518"/>
      <c r="F1293" s="284"/>
      <c r="G1293" s="41"/>
      <c r="H1293" s="285"/>
      <c r="I1293" s="24"/>
      <c r="J1293" s="198"/>
      <c r="K1293" s="27"/>
      <c r="L1293" s="53"/>
    </row>
    <row r="1294" spans="1:16" ht="33.75" x14ac:dyDescent="0.2">
      <c r="B1294" s="43"/>
      <c r="D1294" s="476"/>
      <c r="E1294" s="520" t="s">
        <v>251</v>
      </c>
      <c r="F1294" s="358"/>
      <c r="G1294" s="307"/>
      <c r="H1294" s="360"/>
      <c r="I1294" s="368" t="s">
        <v>712</v>
      </c>
      <c r="J1294" s="234"/>
      <c r="K1294" s="299"/>
      <c r="L1294" s="49"/>
    </row>
    <row r="1295" spans="1:16" x14ac:dyDescent="0.2">
      <c r="B1295" s="43"/>
      <c r="D1295" s="476"/>
      <c r="E1295" s="521"/>
      <c r="F1295" s="792" t="s">
        <v>979</v>
      </c>
      <c r="G1295" s="793"/>
      <c r="H1295" s="794" t="s">
        <v>46</v>
      </c>
      <c r="I1295" s="807" t="s">
        <v>10</v>
      </c>
      <c r="J1295" s="816">
        <v>200000</v>
      </c>
      <c r="K1295" s="817"/>
      <c r="L1295" s="797">
        <f>SUM(J1295:K1295)</f>
        <v>200000</v>
      </c>
    </row>
    <row r="1296" spans="1:16" x14ac:dyDescent="0.2">
      <c r="B1296" s="43"/>
      <c r="D1296" s="476"/>
      <c r="E1296" s="518"/>
      <c r="F1296" s="284">
        <v>234</v>
      </c>
      <c r="G1296" s="203"/>
      <c r="H1296" s="284">
        <v>511</v>
      </c>
      <c r="I1296" s="194" t="s">
        <v>20</v>
      </c>
      <c r="J1296" s="56">
        <v>5500000</v>
      </c>
      <c r="K1296" s="51"/>
      <c r="L1296" s="51">
        <f>SUM(J1296:K1296)</f>
        <v>5500000</v>
      </c>
    </row>
    <row r="1297" spans="2:13" x14ac:dyDescent="0.2">
      <c r="B1297" s="43"/>
      <c r="D1297" s="476"/>
      <c r="E1297" s="518"/>
      <c r="F1297" s="284"/>
      <c r="G1297" s="47" t="s">
        <v>37</v>
      </c>
      <c r="H1297" s="406"/>
      <c r="I1297" s="194" t="s">
        <v>38</v>
      </c>
      <c r="J1297" s="56">
        <f>SUM(J1295:J1296)</f>
        <v>5700000</v>
      </c>
      <c r="K1297" s="52"/>
      <c r="L1297" s="51">
        <f>SUM(J1297:K1297)</f>
        <v>5700000</v>
      </c>
    </row>
    <row r="1298" spans="2:13" ht="15" x14ac:dyDescent="0.25">
      <c r="B1298" s="43"/>
      <c r="D1298" s="476"/>
      <c r="E1298" s="518"/>
      <c r="F1298" s="284"/>
      <c r="G1298" s="41"/>
      <c r="H1298" s="288"/>
      <c r="I1298" s="57" t="s">
        <v>710</v>
      </c>
      <c r="J1298" s="48">
        <f>SUM(J1297)</f>
        <v>5700000</v>
      </c>
      <c r="K1298" s="52"/>
      <c r="L1298" s="52">
        <f>SUM(J1297:K1297)</f>
        <v>5700000</v>
      </c>
    </row>
    <row r="1299" spans="2:13" x14ac:dyDescent="0.2">
      <c r="B1299" s="43"/>
      <c r="D1299" s="476"/>
      <c r="E1299" s="518"/>
      <c r="F1299" s="284"/>
      <c r="G1299" s="41"/>
      <c r="H1299" s="285"/>
      <c r="I1299" s="24"/>
      <c r="J1299" s="198"/>
      <c r="K1299" s="27"/>
      <c r="L1299" s="53"/>
    </row>
    <row r="1300" spans="2:13" ht="22.5" x14ac:dyDescent="0.2">
      <c r="B1300" s="43"/>
      <c r="D1300" s="476"/>
      <c r="E1300" s="520" t="s">
        <v>251</v>
      </c>
      <c r="F1300" s="358"/>
      <c r="G1300" s="307"/>
      <c r="H1300" s="360"/>
      <c r="I1300" s="368" t="s">
        <v>763</v>
      </c>
      <c r="J1300" s="234"/>
      <c r="K1300" s="299"/>
      <c r="L1300" s="49"/>
    </row>
    <row r="1301" spans="2:13" x14ac:dyDescent="0.2">
      <c r="B1301" s="43"/>
      <c r="D1301" s="476"/>
      <c r="E1301" s="518"/>
      <c r="F1301" s="284">
        <v>235</v>
      </c>
      <c r="G1301" s="203"/>
      <c r="H1301" s="284">
        <v>511</v>
      </c>
      <c r="I1301" s="194" t="s">
        <v>20</v>
      </c>
      <c r="J1301" s="973">
        <v>1</v>
      </c>
      <c r="K1301" s="963"/>
      <c r="L1301" s="963">
        <f>SUM(J1301:K1301)</f>
        <v>1</v>
      </c>
    </row>
    <row r="1302" spans="2:13" x14ac:dyDescent="0.2">
      <c r="B1302" s="43"/>
      <c r="D1302" s="476"/>
      <c r="E1302" s="518"/>
      <c r="F1302" s="284"/>
      <c r="G1302" s="47" t="s">
        <v>37</v>
      </c>
      <c r="H1302" s="406"/>
      <c r="I1302" s="194" t="s">
        <v>38</v>
      </c>
      <c r="J1302" s="973">
        <f>SUM(J1301:J1301)</f>
        <v>1</v>
      </c>
      <c r="K1302" s="969"/>
      <c r="L1302" s="963">
        <f>SUM(J1301:K1301)</f>
        <v>1</v>
      </c>
    </row>
    <row r="1303" spans="2:13" ht="15" x14ac:dyDescent="0.25">
      <c r="B1303" s="43"/>
      <c r="D1303" s="476"/>
      <c r="E1303" s="518"/>
      <c r="F1303" s="284"/>
      <c r="G1303" s="41"/>
      <c r="H1303" s="288"/>
      <c r="I1303" s="57" t="s">
        <v>710</v>
      </c>
      <c r="J1303" s="978">
        <f>SUM(J1302)</f>
        <v>1</v>
      </c>
      <c r="K1303" s="969"/>
      <c r="L1303" s="969">
        <f>SUM(J1302:K1302)</f>
        <v>1</v>
      </c>
    </row>
    <row r="1304" spans="2:13" x14ac:dyDescent="0.2">
      <c r="B1304" s="43"/>
      <c r="D1304" s="476"/>
      <c r="E1304" s="518"/>
      <c r="F1304" s="284"/>
      <c r="G1304" s="41"/>
      <c r="H1304" s="285"/>
      <c r="I1304" s="24"/>
      <c r="J1304" s="984"/>
      <c r="K1304" s="985"/>
      <c r="L1304" s="986"/>
    </row>
    <row r="1305" spans="2:13" ht="22.5" x14ac:dyDescent="0.2">
      <c r="B1305" s="43"/>
      <c r="D1305" s="476"/>
      <c r="E1305" s="520" t="s">
        <v>251</v>
      </c>
      <c r="F1305" s="358"/>
      <c r="G1305" s="307"/>
      <c r="H1305" s="360"/>
      <c r="I1305" s="368" t="s">
        <v>762</v>
      </c>
      <c r="J1305" s="234"/>
      <c r="K1305" s="299"/>
      <c r="L1305" s="49"/>
    </row>
    <row r="1306" spans="2:13" x14ac:dyDescent="0.2">
      <c r="B1306" s="43"/>
      <c r="D1306" s="476"/>
      <c r="E1306" s="518"/>
      <c r="F1306" s="284">
        <v>236</v>
      </c>
      <c r="G1306" s="203"/>
      <c r="H1306" s="284">
        <v>511</v>
      </c>
      <c r="I1306" s="194" t="s">
        <v>20</v>
      </c>
      <c r="J1306" s="989">
        <v>1</v>
      </c>
      <c r="K1306" s="956"/>
      <c r="L1306" s="956">
        <f>SUM(J1306:K1306)</f>
        <v>1</v>
      </c>
    </row>
    <row r="1307" spans="2:13" x14ac:dyDescent="0.2">
      <c r="B1307" s="43"/>
      <c r="D1307" s="476"/>
      <c r="E1307" s="518"/>
      <c r="F1307" s="284"/>
      <c r="G1307" s="47" t="s">
        <v>37</v>
      </c>
      <c r="H1307" s="285"/>
      <c r="I1307" s="194" t="s">
        <v>38</v>
      </c>
      <c r="J1307" s="989">
        <v>1</v>
      </c>
      <c r="K1307" s="957"/>
      <c r="L1307" s="956">
        <f>SUM(J1306:K1306)</f>
        <v>1</v>
      </c>
    </row>
    <row r="1308" spans="2:13" ht="15" x14ac:dyDescent="0.25">
      <c r="B1308" s="43"/>
      <c r="D1308" s="476"/>
      <c r="E1308" s="518"/>
      <c r="F1308" s="284"/>
      <c r="G1308" s="41"/>
      <c r="H1308" s="288"/>
      <c r="I1308" s="57" t="s">
        <v>710</v>
      </c>
      <c r="J1308" s="990">
        <f>SUM(J1307)</f>
        <v>1</v>
      </c>
      <c r="K1308" s="957"/>
      <c r="L1308" s="957">
        <f>SUM(J1307:K1307)</f>
        <v>1</v>
      </c>
    </row>
    <row r="1309" spans="2:13" ht="15" x14ac:dyDescent="0.25">
      <c r="B1309" s="43"/>
      <c r="D1309" s="476"/>
      <c r="E1309" s="518"/>
      <c r="F1309" s="284"/>
      <c r="G1309" s="41"/>
      <c r="H1309" s="288"/>
      <c r="I1309" s="24"/>
      <c r="J1309" s="198"/>
      <c r="K1309" s="27"/>
      <c r="L1309" s="53"/>
    </row>
    <row r="1310" spans="2:13" ht="33.75" x14ac:dyDescent="0.2">
      <c r="B1310" s="43"/>
      <c r="D1310" s="476"/>
      <c r="E1310" s="520" t="s">
        <v>251</v>
      </c>
      <c r="F1310" s="358"/>
      <c r="G1310" s="307"/>
      <c r="H1310" s="360"/>
      <c r="I1310" s="312" t="s">
        <v>761</v>
      </c>
      <c r="J1310" s="232"/>
      <c r="K1310" s="71"/>
      <c r="L1310" s="233"/>
    </row>
    <row r="1311" spans="2:13" x14ac:dyDescent="0.2">
      <c r="B1311" s="43"/>
      <c r="D1311" s="476"/>
      <c r="E1311" s="521"/>
      <c r="F1311" s="792" t="s">
        <v>978</v>
      </c>
      <c r="G1311" s="793"/>
      <c r="H1311" s="794" t="s">
        <v>46</v>
      </c>
      <c r="I1311" s="807" t="s">
        <v>10</v>
      </c>
      <c r="J1311" s="816">
        <v>400000</v>
      </c>
      <c r="K1311" s="817"/>
      <c r="L1311" s="797">
        <f>SUM(J1311:K1311)</f>
        <v>400000</v>
      </c>
    </row>
    <row r="1312" spans="2:13" x14ac:dyDescent="0.2">
      <c r="B1312" s="43"/>
      <c r="D1312" s="476"/>
      <c r="E1312" s="518"/>
      <c r="F1312" s="284">
        <v>237</v>
      </c>
      <c r="G1312" s="41"/>
      <c r="H1312" s="285" t="s">
        <v>270</v>
      </c>
      <c r="I1312" s="262" t="s">
        <v>20</v>
      </c>
      <c r="J1312" s="56">
        <v>35700000</v>
      </c>
      <c r="K1312" s="52"/>
      <c r="L1312" s="51">
        <f>SUM(J1312:K1312)</f>
        <v>35700000</v>
      </c>
      <c r="M1312" s="1014"/>
    </row>
    <row r="1313" spans="1:16" x14ac:dyDescent="0.2">
      <c r="B1313" s="43"/>
      <c r="D1313" s="476"/>
      <c r="E1313" s="518"/>
      <c r="F1313" s="284"/>
      <c r="G1313" s="47" t="s">
        <v>37</v>
      </c>
      <c r="H1313" s="285"/>
      <c r="I1313" s="262" t="s">
        <v>38</v>
      </c>
      <c r="J1313" s="56">
        <f>SUM(J1315-J1314)</f>
        <v>18600000</v>
      </c>
      <c r="K1313" s="52"/>
      <c r="L1313" s="51">
        <f t="shared" ref="L1313:L1315" si="64">SUM(J1313:K1313)</f>
        <v>18600000</v>
      </c>
      <c r="M1313" s="1014"/>
    </row>
    <row r="1314" spans="1:16" x14ac:dyDescent="0.2">
      <c r="B1314" s="43"/>
      <c r="D1314" s="476"/>
      <c r="E1314" s="518"/>
      <c r="F1314" s="284"/>
      <c r="G1314" s="47" t="s">
        <v>113</v>
      </c>
      <c r="H1314" s="285"/>
      <c r="I1314" s="262" t="s">
        <v>418</v>
      </c>
      <c r="J1314" s="56">
        <v>17500000</v>
      </c>
      <c r="K1314" s="52"/>
      <c r="L1314" s="51">
        <f t="shared" si="64"/>
        <v>17500000</v>
      </c>
    </row>
    <row r="1315" spans="1:16" ht="15" x14ac:dyDescent="0.25">
      <c r="B1315" s="43"/>
      <c r="D1315" s="476"/>
      <c r="E1315" s="518"/>
      <c r="F1315" s="284"/>
      <c r="G1315" s="41"/>
      <c r="H1315" s="288"/>
      <c r="I1315" s="202" t="s">
        <v>710</v>
      </c>
      <c r="J1315" s="48">
        <f>SUM(J1311:J1312)</f>
        <v>36100000</v>
      </c>
      <c r="K1315" s="52"/>
      <c r="L1315" s="52">
        <f t="shared" si="64"/>
        <v>36100000</v>
      </c>
    </row>
    <row r="1316" spans="1:16" s="165" customFormat="1" x14ac:dyDescent="0.2">
      <c r="A1316" s="44"/>
      <c r="B1316" s="43"/>
      <c r="C1316" s="43"/>
      <c r="D1316" s="476"/>
      <c r="E1316" s="518"/>
      <c r="F1316" s="284"/>
      <c r="G1316" s="41"/>
      <c r="H1316" s="285"/>
      <c r="I1316" s="24"/>
      <c r="J1316" s="198"/>
      <c r="K1316" s="27"/>
      <c r="L1316" s="53"/>
      <c r="M1316" s="992"/>
      <c r="N1316" s="834"/>
      <c r="O1316" s="163"/>
      <c r="P1316" s="832"/>
    </row>
    <row r="1317" spans="1:16" ht="22.5" x14ac:dyDescent="0.2">
      <c r="B1317" s="43"/>
      <c r="D1317" s="476"/>
      <c r="E1317" s="520" t="s">
        <v>251</v>
      </c>
      <c r="F1317" s="358"/>
      <c r="G1317" s="307"/>
      <c r="H1317" s="360"/>
      <c r="I1317" s="312" t="s">
        <v>835</v>
      </c>
      <c r="J1317" s="232"/>
      <c r="K1317" s="71"/>
      <c r="L1317" s="233"/>
    </row>
    <row r="1318" spans="1:16" x14ac:dyDescent="0.2">
      <c r="B1318" s="43"/>
      <c r="D1318" s="476"/>
      <c r="E1318" s="521"/>
      <c r="F1318" s="792" t="s">
        <v>1031</v>
      </c>
      <c r="G1318" s="793"/>
      <c r="H1318" s="794" t="s">
        <v>46</v>
      </c>
      <c r="I1318" s="807" t="s">
        <v>10</v>
      </c>
      <c r="J1318" s="816">
        <v>200000</v>
      </c>
      <c r="K1318" s="817"/>
      <c r="L1318" s="797">
        <f>SUM(J1318:K1318)</f>
        <v>200000</v>
      </c>
    </row>
    <row r="1319" spans="1:16" x14ac:dyDescent="0.2">
      <c r="B1319" s="43"/>
      <c r="D1319" s="476"/>
      <c r="E1319" s="518"/>
      <c r="F1319" s="284">
        <v>238</v>
      </c>
      <c r="G1319" s="41"/>
      <c r="H1319" s="284">
        <v>511</v>
      </c>
      <c r="I1319" s="262" t="s">
        <v>20</v>
      </c>
      <c r="J1319" s="56">
        <f>6454047.6+254047.6</f>
        <v>6708095.1999999993</v>
      </c>
      <c r="K1319" s="52"/>
      <c r="L1319" s="51">
        <f>SUM(J1319:K1319)</f>
        <v>6708095.1999999993</v>
      </c>
    </row>
    <row r="1320" spans="1:16" x14ac:dyDescent="0.2">
      <c r="B1320" s="43"/>
      <c r="D1320" s="476"/>
      <c r="E1320" s="518"/>
      <c r="F1320" s="284"/>
      <c r="G1320" s="47" t="s">
        <v>37</v>
      </c>
      <c r="H1320" s="285"/>
      <c r="I1320" s="262" t="s">
        <v>38</v>
      </c>
      <c r="J1320" s="56">
        <f>SUM(J1318:J1319)</f>
        <v>6908095.1999999993</v>
      </c>
      <c r="K1320" s="52"/>
      <c r="L1320" s="51">
        <f>SUM(J1319:K1319)</f>
        <v>6708095.1999999993</v>
      </c>
    </row>
    <row r="1321" spans="1:16" ht="15" x14ac:dyDescent="0.25">
      <c r="B1321" s="43"/>
      <c r="D1321" s="476"/>
      <c r="E1321" s="518"/>
      <c r="F1321" s="284"/>
      <c r="G1321" s="41"/>
      <c r="H1321" s="288"/>
      <c r="I1321" s="273" t="s">
        <v>710</v>
      </c>
      <c r="J1321" s="48">
        <f>SUM(J1320)</f>
        <v>6908095.1999999993</v>
      </c>
      <c r="K1321" s="52"/>
      <c r="L1321" s="52">
        <f>SUM(J1320:K1320)</f>
        <v>6908095.1999999993</v>
      </c>
    </row>
    <row r="1322" spans="1:16" x14ac:dyDescent="0.2">
      <c r="B1322" s="43"/>
      <c r="D1322" s="476"/>
      <c r="E1322" s="518"/>
      <c r="F1322" s="284"/>
      <c r="G1322" s="41"/>
      <c r="H1322" s="285"/>
      <c r="I1322" s="24"/>
      <c r="J1322" s="198"/>
      <c r="K1322" s="27"/>
      <c r="L1322" s="53"/>
    </row>
    <row r="1323" spans="1:16" ht="22.5" x14ac:dyDescent="0.2">
      <c r="B1323" s="43"/>
      <c r="D1323" s="476"/>
      <c r="E1323" s="520" t="s">
        <v>251</v>
      </c>
      <c r="F1323" s="358"/>
      <c r="G1323" s="307"/>
      <c r="H1323" s="360"/>
      <c r="I1323" s="312" t="s">
        <v>833</v>
      </c>
      <c r="J1323" s="232"/>
      <c r="K1323" s="71"/>
      <c r="L1323" s="233"/>
    </row>
    <row r="1324" spans="1:16" x14ac:dyDescent="0.2">
      <c r="B1324" s="43"/>
      <c r="D1324" s="476"/>
      <c r="E1324" s="521"/>
      <c r="F1324" s="406" t="s">
        <v>1025</v>
      </c>
      <c r="G1324" s="203"/>
      <c r="H1324" s="432" t="s">
        <v>46</v>
      </c>
      <c r="I1324" s="906" t="s">
        <v>10</v>
      </c>
      <c r="J1324" s="45">
        <v>700000</v>
      </c>
      <c r="K1324" s="52"/>
      <c r="L1324" s="52">
        <f>SUM(J1324:K1324)</f>
        <v>700000</v>
      </c>
    </row>
    <row r="1325" spans="1:16" x14ac:dyDescent="0.2">
      <c r="B1325" s="43"/>
      <c r="D1325" s="476"/>
      <c r="E1325" s="518"/>
      <c r="F1325" s="284">
        <v>239</v>
      </c>
      <c r="G1325" s="41"/>
      <c r="H1325" s="284">
        <v>511</v>
      </c>
      <c r="I1325" s="194" t="s">
        <v>20</v>
      </c>
      <c r="J1325" s="56">
        <f>25000000+10000000</f>
        <v>35000000</v>
      </c>
      <c r="K1325" s="51"/>
      <c r="L1325" s="51">
        <f>SUM(J1325:K1325)</f>
        <v>35000000</v>
      </c>
      <c r="N1325" s="845"/>
    </row>
    <row r="1326" spans="1:16" x14ac:dyDescent="0.2">
      <c r="B1326" s="43"/>
      <c r="D1326" s="476"/>
      <c r="E1326" s="518"/>
      <c r="F1326" s="284"/>
      <c r="G1326" s="47" t="s">
        <v>37</v>
      </c>
      <c r="H1326" s="285"/>
      <c r="I1326" s="194" t="s">
        <v>38</v>
      </c>
      <c r="J1326" s="56">
        <f>SUM(J1324:J1325)</f>
        <v>35700000</v>
      </c>
      <c r="K1326" s="52"/>
      <c r="L1326" s="51">
        <f>SUM(J1325:K1325)</f>
        <v>35000000</v>
      </c>
    </row>
    <row r="1327" spans="1:16" ht="15" x14ac:dyDescent="0.25">
      <c r="B1327" s="43"/>
      <c r="D1327" s="476"/>
      <c r="E1327" s="518"/>
      <c r="F1327" s="284"/>
      <c r="G1327" s="41"/>
      <c r="H1327" s="288"/>
      <c r="I1327" s="202" t="s">
        <v>710</v>
      </c>
      <c r="J1327" s="48">
        <f>SUM(J1326:J1326)</f>
        <v>35700000</v>
      </c>
      <c r="K1327" s="52"/>
      <c r="L1327" s="52">
        <f>SUM(J1326:K1326)</f>
        <v>35700000</v>
      </c>
    </row>
    <row r="1328" spans="1:16" ht="15" x14ac:dyDescent="0.25">
      <c r="B1328" s="43"/>
      <c r="D1328" s="476"/>
      <c r="E1328" s="518"/>
      <c r="F1328" s="284"/>
      <c r="G1328" s="41"/>
      <c r="H1328" s="288"/>
      <c r="I1328" s="24"/>
      <c r="J1328" s="27"/>
      <c r="K1328" s="27"/>
      <c r="L1328" s="53"/>
    </row>
    <row r="1329" spans="1:23" ht="22.5" x14ac:dyDescent="0.2">
      <c r="A1329" s="477"/>
      <c r="B1329" s="43"/>
      <c r="D1329" s="43"/>
      <c r="E1329" s="520" t="s">
        <v>251</v>
      </c>
      <c r="F1329" s="358"/>
      <c r="G1329" s="307"/>
      <c r="H1329" s="360"/>
      <c r="I1329" s="312" t="s">
        <v>831</v>
      </c>
      <c r="J1329" s="232"/>
      <c r="K1329" s="71"/>
      <c r="L1329" s="233"/>
    </row>
    <row r="1330" spans="1:23" x14ac:dyDescent="0.2">
      <c r="A1330" s="477"/>
      <c r="B1330" s="43"/>
      <c r="D1330" s="43"/>
      <c r="E1330" s="521"/>
      <c r="F1330" s="880" t="s">
        <v>977</v>
      </c>
      <c r="G1330" s="881"/>
      <c r="H1330" s="882" t="s">
        <v>46</v>
      </c>
      <c r="I1330" s="883" t="s">
        <v>10</v>
      </c>
      <c r="J1330" s="884">
        <f>600000+500000</f>
        <v>1100000</v>
      </c>
      <c r="K1330" s="885"/>
      <c r="L1330" s="886">
        <f>SUM(J1330:K1330)</f>
        <v>1100000</v>
      </c>
      <c r="N1330" s="845"/>
      <c r="O1330" s="894"/>
      <c r="P1330" s="846"/>
      <c r="Q1330" s="895"/>
      <c r="R1330" s="895"/>
      <c r="S1330" s="895"/>
      <c r="T1330" s="895"/>
      <c r="U1330" s="895"/>
      <c r="V1330" s="895"/>
      <c r="W1330" s="895"/>
    </row>
    <row r="1331" spans="1:23" x14ac:dyDescent="0.2">
      <c r="B1331" s="43"/>
      <c r="D1331" s="476"/>
      <c r="E1331" s="518"/>
      <c r="F1331" s="770">
        <v>240</v>
      </c>
      <c r="G1331" s="771"/>
      <c r="H1331" s="772" t="s">
        <v>270</v>
      </c>
      <c r="I1331" s="902" t="s">
        <v>20</v>
      </c>
      <c r="J1331" s="840">
        <f>549150301.1+1500000</f>
        <v>550650301.10000002</v>
      </c>
      <c r="K1331" s="188"/>
      <c r="L1331" s="188">
        <f>SUM(J1331:K1331)</f>
        <v>550650301.10000002</v>
      </c>
      <c r="N1331" s="845"/>
      <c r="O1331" s="894"/>
      <c r="P1331" s="846"/>
      <c r="Q1331" s="895"/>
      <c r="R1331" s="895"/>
      <c r="S1331" s="895"/>
      <c r="T1331" s="895"/>
      <c r="U1331" s="895"/>
      <c r="V1331" s="895"/>
      <c r="W1331" s="895"/>
    </row>
    <row r="1332" spans="1:23" x14ac:dyDescent="0.2">
      <c r="B1332" s="43"/>
      <c r="D1332" s="476"/>
      <c r="E1332" s="518"/>
      <c r="F1332" s="770"/>
      <c r="G1332" s="887" t="s">
        <v>37</v>
      </c>
      <c r="H1332" s="770"/>
      <c r="I1332" s="902" t="s">
        <v>38</v>
      </c>
      <c r="J1332" s="840">
        <f>SUM(J1334-J1333)</f>
        <v>83623950</v>
      </c>
      <c r="K1332" s="839"/>
      <c r="L1332" s="188">
        <f t="shared" ref="L1332:L1334" si="65">SUM(J1332:K1332)</f>
        <v>83623950</v>
      </c>
      <c r="N1332" s="845"/>
      <c r="O1332" s="894"/>
      <c r="P1332" s="846"/>
      <c r="Q1332" s="895"/>
      <c r="R1332" s="895"/>
      <c r="S1332" s="895"/>
      <c r="T1332" s="895"/>
      <c r="U1332" s="895"/>
      <c r="V1332" s="895"/>
      <c r="W1332" s="895"/>
    </row>
    <row r="1333" spans="1:23" x14ac:dyDescent="0.2">
      <c r="B1333" s="43"/>
      <c r="D1333" s="476"/>
      <c r="E1333" s="518"/>
      <c r="F1333" s="770"/>
      <c r="G1333" s="887" t="s">
        <v>673</v>
      </c>
      <c r="H1333" s="903"/>
      <c r="I1333" s="902" t="s">
        <v>674</v>
      </c>
      <c r="J1333" s="840">
        <v>468126351.10000002</v>
      </c>
      <c r="K1333" s="839"/>
      <c r="L1333" s="188">
        <f t="shared" si="65"/>
        <v>468126351.10000002</v>
      </c>
      <c r="N1333" s="845"/>
      <c r="O1333" s="894"/>
      <c r="P1333" s="846"/>
      <c r="Q1333" s="895"/>
      <c r="R1333" s="895"/>
      <c r="S1333" s="895"/>
      <c r="T1333" s="895"/>
      <c r="U1333" s="895"/>
      <c r="V1333" s="895"/>
      <c r="W1333" s="895"/>
    </row>
    <row r="1334" spans="1:23" ht="15" x14ac:dyDescent="0.25">
      <c r="B1334" s="43"/>
      <c r="D1334" s="476"/>
      <c r="E1334" s="518"/>
      <c r="F1334" s="770"/>
      <c r="G1334" s="771"/>
      <c r="H1334" s="888"/>
      <c r="I1334" s="904" t="s">
        <v>710</v>
      </c>
      <c r="J1334" s="896">
        <f>SUM(J1330:J1331)</f>
        <v>551750301.10000002</v>
      </c>
      <c r="K1334" s="839"/>
      <c r="L1334" s="839">
        <f t="shared" si="65"/>
        <v>551750301.10000002</v>
      </c>
      <c r="N1334" s="894"/>
      <c r="O1334" s="894"/>
      <c r="P1334" s="846"/>
      <c r="Q1334" s="895"/>
      <c r="R1334" s="895"/>
      <c r="S1334" s="895"/>
      <c r="T1334" s="895"/>
      <c r="U1334" s="895"/>
      <c r="V1334" s="895"/>
      <c r="W1334" s="895"/>
    </row>
    <row r="1335" spans="1:23" x14ac:dyDescent="0.2">
      <c r="B1335" s="43"/>
      <c r="D1335" s="476"/>
      <c r="E1335" s="518"/>
      <c r="F1335" s="284"/>
      <c r="G1335" s="41"/>
      <c r="H1335" s="285"/>
      <c r="I1335" s="17"/>
      <c r="J1335" s="198"/>
      <c r="K1335" s="27"/>
      <c r="L1335" s="53"/>
    </row>
    <row r="1336" spans="1:23" ht="22.5" x14ac:dyDescent="0.2">
      <c r="B1336" s="43"/>
      <c r="D1336" s="476"/>
      <c r="E1336" s="520" t="s">
        <v>251</v>
      </c>
      <c r="F1336" s="358"/>
      <c r="G1336" s="307"/>
      <c r="H1336" s="360"/>
      <c r="I1336" s="312" t="s">
        <v>832</v>
      </c>
      <c r="J1336" s="232"/>
      <c r="K1336" s="71"/>
      <c r="L1336" s="233"/>
      <c r="O1336" s="894"/>
    </row>
    <row r="1337" spans="1:23" x14ac:dyDescent="0.2">
      <c r="B1337" s="43"/>
      <c r="D1337" s="476"/>
      <c r="E1337" s="521"/>
      <c r="F1337" s="792" t="s">
        <v>976</v>
      </c>
      <c r="G1337" s="793"/>
      <c r="H1337" s="794" t="s">
        <v>46</v>
      </c>
      <c r="I1337" s="807" t="s">
        <v>10</v>
      </c>
      <c r="J1337" s="816">
        <v>200000</v>
      </c>
      <c r="K1337" s="817"/>
      <c r="L1337" s="797">
        <f>SUM(J1337:K1337)</f>
        <v>200000</v>
      </c>
    </row>
    <row r="1338" spans="1:23" x14ac:dyDescent="0.2">
      <c r="B1338" s="43"/>
      <c r="D1338" s="476"/>
      <c r="E1338" s="518"/>
      <c r="F1338" s="284">
        <v>241</v>
      </c>
      <c r="G1338" s="41"/>
      <c r="H1338" s="406">
        <v>511</v>
      </c>
      <c r="I1338" s="262" t="s">
        <v>20</v>
      </c>
      <c r="J1338" s="56">
        <v>31385465.420000002</v>
      </c>
      <c r="K1338" s="51"/>
      <c r="L1338" s="51">
        <f>SUM(J1338:K1338)</f>
        <v>31385465.420000002</v>
      </c>
      <c r="N1338" s="845"/>
    </row>
    <row r="1339" spans="1:23" x14ac:dyDescent="0.2">
      <c r="B1339" s="43"/>
      <c r="D1339" s="476"/>
      <c r="E1339" s="518"/>
      <c r="F1339" s="284"/>
      <c r="G1339" s="47" t="s">
        <v>37</v>
      </c>
      <c r="H1339" s="432"/>
      <c r="I1339" s="194" t="s">
        <v>38</v>
      </c>
      <c r="J1339" s="56">
        <f>SUM(J1337:J1338)</f>
        <v>31585465.420000002</v>
      </c>
      <c r="K1339" s="52"/>
      <c r="L1339" s="51">
        <f>SUM(J1338:K1338)</f>
        <v>31385465.420000002</v>
      </c>
    </row>
    <row r="1340" spans="1:23" ht="15" x14ac:dyDescent="0.25">
      <c r="B1340" s="43"/>
      <c r="D1340" s="476"/>
      <c r="E1340" s="518"/>
      <c r="F1340" s="284"/>
      <c r="G1340" s="41"/>
      <c r="H1340" s="298"/>
      <c r="I1340" s="202" t="s">
        <v>710</v>
      </c>
      <c r="J1340" s="48">
        <f>SUM(J1337:J1338)</f>
        <v>31585465.420000002</v>
      </c>
      <c r="K1340" s="52"/>
      <c r="L1340" s="52">
        <f>SUM(J1339:K1339)</f>
        <v>31585465.420000002</v>
      </c>
    </row>
    <row r="1341" spans="1:23" ht="15" x14ac:dyDescent="0.25">
      <c r="B1341" s="43"/>
      <c r="D1341" s="476"/>
      <c r="E1341" s="518"/>
      <c r="F1341" s="284"/>
      <c r="G1341" s="41"/>
      <c r="H1341" s="298"/>
      <c r="I1341" s="242"/>
      <c r="J1341" s="198"/>
      <c r="K1341" s="27"/>
      <c r="L1341" s="53"/>
    </row>
    <row r="1342" spans="1:23" ht="22.5" x14ac:dyDescent="0.2">
      <c r="B1342" s="43"/>
      <c r="D1342" s="476"/>
      <c r="E1342" s="520" t="s">
        <v>251</v>
      </c>
      <c r="F1342" s="358"/>
      <c r="G1342" s="307"/>
      <c r="H1342" s="360"/>
      <c r="I1342" s="312" t="s">
        <v>1047</v>
      </c>
      <c r="J1342" s="232"/>
      <c r="K1342" s="71"/>
      <c r="L1342" s="233"/>
    </row>
    <row r="1343" spans="1:23" x14ac:dyDescent="0.2">
      <c r="B1343" s="43"/>
      <c r="D1343" s="476"/>
      <c r="E1343" s="521"/>
      <c r="F1343" s="792" t="s">
        <v>1048</v>
      </c>
      <c r="G1343" s="793"/>
      <c r="H1343" s="794" t="s">
        <v>46</v>
      </c>
      <c r="I1343" s="807" t="s">
        <v>10</v>
      </c>
      <c r="J1343" s="816">
        <v>200000</v>
      </c>
      <c r="K1343" s="817"/>
      <c r="L1343" s="797">
        <f>SUM(J1343:K1343)</f>
        <v>200000</v>
      </c>
    </row>
    <row r="1344" spans="1:23" x14ac:dyDescent="0.2">
      <c r="B1344" s="43"/>
      <c r="D1344" s="476"/>
      <c r="E1344" s="518"/>
      <c r="F1344" s="284" t="s">
        <v>1049</v>
      </c>
      <c r="G1344" s="41"/>
      <c r="H1344" s="406">
        <v>511</v>
      </c>
      <c r="I1344" s="262" t="s">
        <v>20</v>
      </c>
      <c r="J1344" s="56">
        <v>40000000</v>
      </c>
      <c r="K1344" s="51"/>
      <c r="L1344" s="51">
        <f>SUM(J1344:K1344)</f>
        <v>40000000</v>
      </c>
    </row>
    <row r="1345" spans="2:16" x14ac:dyDescent="0.2">
      <c r="B1345" s="43"/>
      <c r="D1345" s="476"/>
      <c r="E1345" s="518"/>
      <c r="F1345" s="284"/>
      <c r="G1345" s="47" t="s">
        <v>37</v>
      </c>
      <c r="H1345" s="432"/>
      <c r="I1345" s="194" t="s">
        <v>38</v>
      </c>
      <c r="J1345" s="56">
        <f>SUM(J1343:J1344)</f>
        <v>40200000</v>
      </c>
      <c r="K1345" s="52"/>
      <c r="L1345" s="51">
        <f>SUM(J1344:K1344)</f>
        <v>40000000</v>
      </c>
    </row>
    <row r="1346" spans="2:16" ht="15" x14ac:dyDescent="0.25">
      <c r="B1346" s="43"/>
      <c r="D1346" s="476"/>
      <c r="E1346" s="518"/>
      <c r="F1346" s="284"/>
      <c r="G1346" s="41"/>
      <c r="H1346" s="298"/>
      <c r="I1346" s="202" t="s">
        <v>710</v>
      </c>
      <c r="J1346" s="48">
        <f>SUM(J1343:J1344)</f>
        <v>40200000</v>
      </c>
      <c r="K1346" s="52"/>
      <c r="L1346" s="52">
        <f>SUM(J1345:K1345)</f>
        <v>40200000</v>
      </c>
    </row>
    <row r="1347" spans="2:16" ht="15" x14ac:dyDescent="0.25">
      <c r="B1347" s="43"/>
      <c r="D1347" s="476"/>
      <c r="E1347" s="518"/>
      <c r="F1347" s="284"/>
      <c r="G1347" s="41"/>
      <c r="H1347" s="298"/>
      <c r="I1347" s="17"/>
      <c r="J1347" s="198"/>
      <c r="K1347" s="27"/>
      <c r="L1347" s="53"/>
    </row>
    <row r="1348" spans="2:16" x14ac:dyDescent="0.2">
      <c r="B1348" s="43"/>
      <c r="D1348" s="476"/>
      <c r="E1348" s="520" t="s">
        <v>251</v>
      </c>
      <c r="F1348" s="358"/>
      <c r="G1348" s="307"/>
      <c r="H1348" s="360"/>
      <c r="I1348" s="312" t="s">
        <v>830</v>
      </c>
      <c r="J1348" s="232"/>
      <c r="K1348" s="71"/>
      <c r="L1348" s="233"/>
    </row>
    <row r="1349" spans="2:16" x14ac:dyDescent="0.2">
      <c r="B1349" s="43"/>
      <c r="D1349" s="476"/>
      <c r="E1349" s="518"/>
      <c r="F1349" s="284">
        <v>242</v>
      </c>
      <c r="G1349" s="41"/>
      <c r="H1349" s="285" t="s">
        <v>270</v>
      </c>
      <c r="I1349" s="262" t="s">
        <v>20</v>
      </c>
      <c r="J1349" s="973">
        <v>2</v>
      </c>
      <c r="K1349" s="963"/>
      <c r="L1349" s="963">
        <f>SUM(J1349:K1349)</f>
        <v>2</v>
      </c>
    </row>
    <row r="1350" spans="2:16" x14ac:dyDescent="0.2">
      <c r="B1350" s="43"/>
      <c r="D1350" s="476"/>
      <c r="E1350" s="518"/>
      <c r="F1350" s="284"/>
      <c r="G1350" s="47" t="s">
        <v>37</v>
      </c>
      <c r="H1350" s="284"/>
      <c r="I1350" s="262" t="s">
        <v>38</v>
      </c>
      <c r="J1350" s="973">
        <f>SUM(J1352-J1351)</f>
        <v>1</v>
      </c>
      <c r="K1350" s="969"/>
      <c r="L1350" s="963">
        <f t="shared" ref="L1350:L1352" si="66">SUM(J1350:K1350)</f>
        <v>1</v>
      </c>
    </row>
    <row r="1351" spans="2:16" x14ac:dyDescent="0.2">
      <c r="B1351" s="43"/>
      <c r="D1351" s="476"/>
      <c r="E1351" s="518"/>
      <c r="F1351" s="284"/>
      <c r="G1351" s="47" t="s">
        <v>113</v>
      </c>
      <c r="H1351" s="406"/>
      <c r="I1351" s="262" t="s">
        <v>280</v>
      </c>
      <c r="J1351" s="973">
        <v>1</v>
      </c>
      <c r="K1351" s="969"/>
      <c r="L1351" s="963">
        <f t="shared" si="66"/>
        <v>1</v>
      </c>
    </row>
    <row r="1352" spans="2:16" ht="15" x14ac:dyDescent="0.25">
      <c r="B1352" s="43"/>
      <c r="D1352" s="476"/>
      <c r="E1352" s="518"/>
      <c r="F1352" s="284"/>
      <c r="G1352" s="41"/>
      <c r="H1352" s="288"/>
      <c r="I1352" s="202" t="s">
        <v>710</v>
      </c>
      <c r="J1352" s="978">
        <f>SUM(J1349:J1349)</f>
        <v>2</v>
      </c>
      <c r="K1352" s="969"/>
      <c r="L1352" s="969">
        <f t="shared" si="66"/>
        <v>2</v>
      </c>
    </row>
    <row r="1353" spans="2:16" x14ac:dyDescent="0.2">
      <c r="B1353" s="43"/>
      <c r="D1353" s="476"/>
      <c r="E1353" s="518"/>
      <c r="F1353" s="284"/>
      <c r="G1353" s="41"/>
      <c r="H1353" s="285"/>
      <c r="I1353" s="17"/>
      <c r="J1353" s="198"/>
      <c r="K1353" s="27"/>
      <c r="L1353" s="53"/>
    </row>
    <row r="1354" spans="2:16" ht="22.5" x14ac:dyDescent="0.2">
      <c r="B1354" s="43"/>
      <c r="D1354" s="476"/>
      <c r="E1354" s="520" t="s">
        <v>251</v>
      </c>
      <c r="F1354" s="358"/>
      <c r="G1354" s="307"/>
      <c r="H1354" s="360"/>
      <c r="I1354" s="312" t="s">
        <v>760</v>
      </c>
      <c r="J1354" s="232"/>
      <c r="K1354" s="71"/>
      <c r="L1354" s="233"/>
    </row>
    <row r="1355" spans="2:16" ht="14.25" customHeight="1" x14ac:dyDescent="0.2">
      <c r="B1355" s="43"/>
      <c r="D1355" s="476"/>
      <c r="E1355" s="518"/>
      <c r="F1355" s="284">
        <v>243</v>
      </c>
      <c r="G1355" s="203"/>
      <c r="H1355" s="284">
        <v>424</v>
      </c>
      <c r="I1355" s="274" t="s">
        <v>10</v>
      </c>
      <c r="J1355" s="56">
        <v>6000000</v>
      </c>
      <c r="K1355" s="51"/>
      <c r="L1355" s="51">
        <f>SUM(J1355:K1355)</f>
        <v>6000000</v>
      </c>
    </row>
    <row r="1356" spans="2:16" x14ac:dyDescent="0.2">
      <c r="B1356" s="43"/>
      <c r="D1356" s="476"/>
      <c r="E1356" s="518"/>
      <c r="F1356" s="284"/>
      <c r="G1356" s="47" t="s">
        <v>37</v>
      </c>
      <c r="H1356" s="285"/>
      <c r="I1356" s="194" t="s">
        <v>38</v>
      </c>
      <c r="J1356" s="56">
        <f>SUM(J1355)</f>
        <v>6000000</v>
      </c>
      <c r="K1356" s="52"/>
      <c r="L1356" s="51">
        <f>SUM(J1355:K1355)</f>
        <v>6000000</v>
      </c>
    </row>
    <row r="1357" spans="2:16" ht="15" x14ac:dyDescent="0.25">
      <c r="B1357" s="43"/>
      <c r="D1357" s="476"/>
      <c r="E1357" s="518"/>
      <c r="F1357" s="284"/>
      <c r="G1357" s="41"/>
      <c r="H1357" s="288"/>
      <c r="I1357" s="202" t="s">
        <v>710</v>
      </c>
      <c r="J1357" s="48">
        <f>SUM(J1355:J1355)</f>
        <v>6000000</v>
      </c>
      <c r="K1357" s="52"/>
      <c r="L1357" s="52">
        <f>SUM(J1356:K1356)</f>
        <v>6000000</v>
      </c>
    </row>
    <row r="1358" spans="2:16" x14ac:dyDescent="0.2">
      <c r="B1358" s="43"/>
      <c r="D1358" s="476"/>
      <c r="E1358" s="518"/>
      <c r="F1358" s="284"/>
      <c r="G1358" s="41"/>
      <c r="H1358" s="285"/>
      <c r="I1358" s="24"/>
      <c r="J1358" s="198"/>
      <c r="K1358" s="27"/>
      <c r="L1358" s="53"/>
      <c r="N1358" s="163"/>
      <c r="O1358" s="163"/>
      <c r="P1358" s="832"/>
    </row>
    <row r="1359" spans="2:16" x14ac:dyDescent="0.2">
      <c r="B1359" s="43"/>
      <c r="D1359" s="476"/>
      <c r="E1359" s="520" t="s">
        <v>251</v>
      </c>
      <c r="F1359" s="358"/>
      <c r="G1359" s="307"/>
      <c r="H1359" s="360"/>
      <c r="I1359" s="368" t="s">
        <v>759</v>
      </c>
      <c r="J1359" s="234"/>
      <c r="K1359" s="299"/>
      <c r="L1359" s="49"/>
      <c r="N1359" s="163"/>
      <c r="O1359" s="163"/>
      <c r="P1359" s="832"/>
    </row>
    <row r="1360" spans="2:16" x14ac:dyDescent="0.2">
      <c r="B1360" s="43"/>
      <c r="D1360" s="476"/>
      <c r="E1360" s="518"/>
      <c r="F1360" s="284">
        <v>244</v>
      </c>
      <c r="G1360" s="41"/>
      <c r="H1360" s="284">
        <v>512</v>
      </c>
      <c r="I1360" s="194" t="s">
        <v>21</v>
      </c>
      <c r="J1360" s="56">
        <v>500000</v>
      </c>
      <c r="K1360" s="51"/>
      <c r="L1360" s="51">
        <f>SUM(J1360:K1360)</f>
        <v>500000</v>
      </c>
      <c r="N1360" s="163"/>
      <c r="O1360" s="163"/>
      <c r="P1360" s="832"/>
    </row>
    <row r="1361" spans="2:16" x14ac:dyDescent="0.2">
      <c r="B1361" s="43"/>
      <c r="D1361" s="476"/>
      <c r="E1361" s="518"/>
      <c r="F1361" s="284"/>
      <c r="G1361" s="47" t="s">
        <v>37</v>
      </c>
      <c r="H1361" s="285"/>
      <c r="I1361" s="194" t="s">
        <v>38</v>
      </c>
      <c r="J1361" s="56">
        <f>SUM(J1360)</f>
        <v>500000</v>
      </c>
      <c r="K1361" s="52"/>
      <c r="L1361" s="51">
        <f>SUM(J1360:K1360)</f>
        <v>500000</v>
      </c>
      <c r="N1361" s="163"/>
      <c r="O1361" s="163"/>
      <c r="P1361" s="832"/>
    </row>
    <row r="1362" spans="2:16" ht="15" x14ac:dyDescent="0.25">
      <c r="B1362" s="43"/>
      <c r="D1362" s="476"/>
      <c r="E1362" s="518"/>
      <c r="F1362" s="284"/>
      <c r="G1362" s="41"/>
      <c r="H1362" s="288"/>
      <c r="I1362" s="202" t="s">
        <v>710</v>
      </c>
      <c r="J1362" s="48">
        <f>SUM(J1361)</f>
        <v>500000</v>
      </c>
      <c r="K1362" s="52"/>
      <c r="L1362" s="52">
        <f>SUM(J1361:K1361)</f>
        <v>500000</v>
      </c>
      <c r="N1362" s="163"/>
      <c r="O1362" s="163"/>
      <c r="P1362" s="832"/>
    </row>
    <row r="1363" spans="2:16" ht="15" x14ac:dyDescent="0.25">
      <c r="B1363" s="43"/>
      <c r="D1363" s="476"/>
      <c r="E1363" s="518"/>
      <c r="F1363" s="284"/>
      <c r="G1363" s="41"/>
      <c r="H1363" s="288"/>
      <c r="I1363" s="24"/>
      <c r="J1363" s="198"/>
      <c r="K1363" s="27"/>
      <c r="L1363" s="53"/>
      <c r="N1363" s="163"/>
      <c r="O1363" s="163"/>
      <c r="P1363" s="832"/>
    </row>
    <row r="1364" spans="2:16" ht="22.5" x14ac:dyDescent="0.2">
      <c r="B1364" s="43"/>
      <c r="D1364" s="476"/>
      <c r="E1364" s="520" t="s">
        <v>251</v>
      </c>
      <c r="F1364" s="358"/>
      <c r="G1364" s="374"/>
      <c r="H1364" s="360"/>
      <c r="I1364" s="312" t="s">
        <v>829</v>
      </c>
      <c r="J1364" s="232"/>
      <c r="K1364" s="71"/>
      <c r="L1364" s="233"/>
      <c r="N1364" s="163"/>
      <c r="O1364" s="163"/>
      <c r="P1364" s="832"/>
    </row>
    <row r="1365" spans="2:16" x14ac:dyDescent="0.2">
      <c r="B1365" s="43"/>
      <c r="D1365" s="476"/>
      <c r="E1365" s="518"/>
      <c r="F1365" s="284">
        <v>245</v>
      </c>
      <c r="G1365" s="41"/>
      <c r="H1365" s="285" t="s">
        <v>270</v>
      </c>
      <c r="I1365" s="194" t="s">
        <v>20</v>
      </c>
      <c r="J1365" s="56">
        <f>154857247.87-27112.53</f>
        <v>154830135.34</v>
      </c>
      <c r="K1365" s="52"/>
      <c r="L1365" s="51">
        <f>SUM(J1365:K1365)</f>
        <v>154830135.34</v>
      </c>
      <c r="N1365" s="163"/>
      <c r="O1365" s="163"/>
      <c r="P1365" s="832"/>
    </row>
    <row r="1366" spans="2:16" x14ac:dyDescent="0.2">
      <c r="B1366" s="43"/>
      <c r="D1366" s="476"/>
      <c r="E1366" s="518"/>
      <c r="F1366" s="284"/>
      <c r="G1366" s="47" t="s">
        <v>37</v>
      </c>
      <c r="H1366" s="285"/>
      <c r="I1366" s="194" t="s">
        <v>38</v>
      </c>
      <c r="J1366" s="56">
        <f>SUM(J1368-J1367)</f>
        <v>16122484.569999993</v>
      </c>
      <c r="K1366" s="52"/>
      <c r="L1366" s="51">
        <f t="shared" ref="L1366:L1368" si="67">SUM(J1366:K1366)</f>
        <v>16122484.569999993</v>
      </c>
      <c r="M1366" s="1012"/>
      <c r="N1366" s="163"/>
      <c r="O1366" s="163"/>
      <c r="P1366" s="832"/>
    </row>
    <row r="1367" spans="2:16" x14ac:dyDescent="0.2">
      <c r="B1367" s="43"/>
      <c r="D1367" s="476"/>
      <c r="E1367" s="518"/>
      <c r="F1367" s="284"/>
      <c r="G1367" s="47" t="s">
        <v>113</v>
      </c>
      <c r="H1367" s="285"/>
      <c r="I1367" s="194" t="s">
        <v>280</v>
      </c>
      <c r="J1367" s="56">
        <v>138707650.77000001</v>
      </c>
      <c r="K1367" s="52"/>
      <c r="L1367" s="51">
        <f t="shared" si="67"/>
        <v>138707650.77000001</v>
      </c>
      <c r="N1367" s="163"/>
      <c r="O1367" s="163"/>
      <c r="P1367" s="832"/>
    </row>
    <row r="1368" spans="2:16" ht="15" x14ac:dyDescent="0.25">
      <c r="B1368" s="43"/>
      <c r="D1368" s="476"/>
      <c r="E1368" s="518"/>
      <c r="F1368" s="284"/>
      <c r="G1368" s="41"/>
      <c r="H1368" s="288"/>
      <c r="I1368" s="202" t="s">
        <v>710</v>
      </c>
      <c r="J1368" s="48">
        <f>SUM(J1365:J1365)</f>
        <v>154830135.34</v>
      </c>
      <c r="K1368" s="52"/>
      <c r="L1368" s="52">
        <f t="shared" si="67"/>
        <v>154830135.34</v>
      </c>
      <c r="N1368" s="163"/>
      <c r="O1368" s="163"/>
      <c r="P1368" s="832"/>
    </row>
    <row r="1369" spans="2:16" ht="15" x14ac:dyDescent="0.25">
      <c r="B1369" s="43"/>
      <c r="D1369" s="476"/>
      <c r="E1369" s="518"/>
      <c r="F1369" s="284"/>
      <c r="G1369" s="41"/>
      <c r="H1369" s="288"/>
      <c r="I1369" s="24"/>
      <c r="J1369" s="198"/>
      <c r="K1369" s="27"/>
      <c r="L1369" s="53"/>
      <c r="N1369" s="163"/>
      <c r="O1369" s="163"/>
      <c r="P1369" s="832"/>
    </row>
    <row r="1370" spans="2:16" ht="22.5" x14ac:dyDescent="0.2">
      <c r="B1370" s="43"/>
      <c r="D1370" s="476"/>
      <c r="E1370" s="520" t="s">
        <v>251</v>
      </c>
      <c r="F1370" s="358"/>
      <c r="G1370" s="307"/>
      <c r="H1370" s="360"/>
      <c r="I1370" s="312" t="s">
        <v>828</v>
      </c>
      <c r="J1370" s="232"/>
      <c r="K1370" s="71"/>
      <c r="L1370" s="233"/>
      <c r="N1370" s="163"/>
      <c r="O1370" s="163"/>
      <c r="P1370" s="905"/>
    </row>
    <row r="1371" spans="2:16" x14ac:dyDescent="0.2">
      <c r="B1371" s="43"/>
      <c r="D1371" s="476"/>
      <c r="E1371" s="521"/>
      <c r="F1371" s="792" t="s">
        <v>975</v>
      </c>
      <c r="G1371" s="793"/>
      <c r="H1371" s="794" t="s">
        <v>46</v>
      </c>
      <c r="I1371" s="807" t="s">
        <v>10</v>
      </c>
      <c r="J1371" s="816">
        <v>200000</v>
      </c>
      <c r="K1371" s="817"/>
      <c r="L1371" s="797">
        <f>SUM(J1371:K1371)</f>
        <v>200000</v>
      </c>
      <c r="N1371" s="163"/>
      <c r="O1371" s="163"/>
      <c r="P1371" s="905"/>
    </row>
    <row r="1372" spans="2:16" x14ac:dyDescent="0.2">
      <c r="B1372" s="43"/>
      <c r="D1372" s="476"/>
      <c r="E1372" s="518"/>
      <c r="F1372" s="284">
        <v>246</v>
      </c>
      <c r="G1372" s="41"/>
      <c r="H1372" s="285" t="s">
        <v>270</v>
      </c>
      <c r="I1372" s="194" t="s">
        <v>20</v>
      </c>
      <c r="J1372" s="344">
        <v>56707774.719999999</v>
      </c>
      <c r="K1372" s="52"/>
      <c r="L1372" s="51">
        <f>SUM(J1372:K1372)</f>
        <v>56707774.719999999</v>
      </c>
      <c r="N1372" s="834"/>
      <c r="O1372" s="163"/>
      <c r="P1372" s="905"/>
    </row>
    <row r="1373" spans="2:16" ht="15" x14ac:dyDescent="0.2">
      <c r="B1373" s="43"/>
      <c r="D1373" s="476"/>
      <c r="E1373" s="518"/>
      <c r="F1373" s="284"/>
      <c r="G1373" s="47" t="s">
        <v>37</v>
      </c>
      <c r="H1373" s="436"/>
      <c r="I1373" s="194" t="s">
        <v>38</v>
      </c>
      <c r="J1373" s="56">
        <f>SUM(J1375-J1374)</f>
        <v>37865607.810000002</v>
      </c>
      <c r="K1373" s="52"/>
      <c r="L1373" s="51">
        <f t="shared" ref="L1373:L1375" si="68">SUM(J1373:K1373)</f>
        <v>37865607.810000002</v>
      </c>
      <c r="N1373" s="163"/>
      <c r="O1373" s="163"/>
      <c r="P1373" s="905"/>
    </row>
    <row r="1374" spans="2:16" x14ac:dyDescent="0.2">
      <c r="B1374" s="43"/>
      <c r="D1374" s="476"/>
      <c r="E1374" s="518"/>
      <c r="F1374" s="284"/>
      <c r="G1374" s="47" t="s">
        <v>113</v>
      </c>
      <c r="H1374" s="285"/>
      <c r="I1374" s="194" t="s">
        <v>280</v>
      </c>
      <c r="J1374" s="56">
        <v>19042166.91</v>
      </c>
      <c r="K1374" s="51"/>
      <c r="L1374" s="51">
        <f t="shared" si="68"/>
        <v>19042166.91</v>
      </c>
      <c r="N1374" s="163"/>
      <c r="O1374" s="163"/>
      <c r="P1374" s="905"/>
    </row>
    <row r="1375" spans="2:16" ht="15" x14ac:dyDescent="0.25">
      <c r="B1375" s="43"/>
      <c r="D1375" s="476"/>
      <c r="E1375" s="518"/>
      <c r="F1375" s="284"/>
      <c r="G1375" s="41"/>
      <c r="H1375" s="288"/>
      <c r="I1375" s="202" t="s">
        <v>710</v>
      </c>
      <c r="J1375" s="48">
        <f>SUM(J1371:J1372)</f>
        <v>56907774.719999999</v>
      </c>
      <c r="K1375" s="52"/>
      <c r="L1375" s="52">
        <f t="shared" si="68"/>
        <v>56907774.719999999</v>
      </c>
      <c r="N1375" s="163"/>
      <c r="O1375" s="163"/>
      <c r="P1375" s="905"/>
    </row>
    <row r="1376" spans="2:16" x14ac:dyDescent="0.2">
      <c r="B1376" s="43"/>
      <c r="D1376" s="476"/>
      <c r="E1376" s="518"/>
      <c r="F1376" s="284"/>
      <c r="G1376" s="41"/>
      <c r="H1376" s="285"/>
      <c r="I1376" s="24"/>
      <c r="J1376" s="198"/>
      <c r="K1376" s="27"/>
      <c r="L1376" s="53"/>
      <c r="N1376" s="163"/>
      <c r="O1376" s="163"/>
      <c r="P1376" s="832"/>
    </row>
    <row r="1377" spans="1:16" ht="22.5" x14ac:dyDescent="0.2">
      <c r="B1377" s="43"/>
      <c r="D1377" s="476"/>
      <c r="E1377" s="520" t="s">
        <v>251</v>
      </c>
      <c r="F1377" s="358"/>
      <c r="G1377" s="374"/>
      <c r="H1377" s="360"/>
      <c r="I1377" s="368" t="s">
        <v>827</v>
      </c>
      <c r="J1377" s="234"/>
      <c r="K1377" s="299"/>
      <c r="L1377" s="49"/>
      <c r="N1377" s="834"/>
      <c r="O1377" s="163"/>
      <c r="P1377" s="832"/>
    </row>
    <row r="1378" spans="1:16" x14ac:dyDescent="0.2">
      <c r="B1378" s="43"/>
      <c r="D1378" s="476"/>
      <c r="E1378" s="518"/>
      <c r="F1378" s="284">
        <v>247</v>
      </c>
      <c r="G1378" s="41"/>
      <c r="H1378" s="285" t="s">
        <v>270</v>
      </c>
      <c r="I1378" s="194" t="s">
        <v>20</v>
      </c>
      <c r="J1378" s="56">
        <v>1800000</v>
      </c>
      <c r="K1378" s="51"/>
      <c r="L1378" s="51">
        <f>SUM(J1378:K1378)</f>
        <v>1800000</v>
      </c>
      <c r="N1378" s="834"/>
      <c r="O1378" s="163"/>
      <c r="P1378" s="905"/>
    </row>
    <row r="1379" spans="1:16" x14ac:dyDescent="0.2">
      <c r="B1379" s="43"/>
      <c r="D1379" s="476"/>
      <c r="E1379" s="518"/>
      <c r="F1379" s="284"/>
      <c r="G1379" s="47" t="s">
        <v>37</v>
      </c>
      <c r="H1379" s="285"/>
      <c r="I1379" s="194" t="s">
        <v>38</v>
      </c>
      <c r="J1379" s="56">
        <f>SUM(J1378)</f>
        <v>1800000</v>
      </c>
      <c r="K1379" s="51"/>
      <c r="L1379" s="51">
        <f>SUM(J1378:K1378)</f>
        <v>1800000</v>
      </c>
      <c r="N1379" s="834"/>
      <c r="O1379" s="163"/>
      <c r="P1379" s="832"/>
    </row>
    <row r="1380" spans="1:16" ht="15" x14ac:dyDescent="0.25">
      <c r="B1380" s="43"/>
      <c r="D1380" s="476"/>
      <c r="E1380" s="518"/>
      <c r="F1380" s="284"/>
      <c r="G1380" s="41"/>
      <c r="H1380" s="288"/>
      <c r="I1380" s="202" t="s">
        <v>710</v>
      </c>
      <c r="J1380" s="48">
        <f>SUM(J1379)</f>
        <v>1800000</v>
      </c>
      <c r="K1380" s="52"/>
      <c r="L1380" s="52">
        <f>SUM(J1379:K1379)</f>
        <v>1800000</v>
      </c>
    </row>
    <row r="1381" spans="1:16" ht="15" x14ac:dyDescent="0.25">
      <c r="B1381" s="43"/>
      <c r="D1381" s="476"/>
      <c r="E1381" s="518"/>
      <c r="F1381" s="284"/>
      <c r="G1381" s="41"/>
      <c r="H1381" s="288"/>
      <c r="I1381" s="24"/>
      <c r="J1381" s="198"/>
      <c r="K1381" s="27"/>
      <c r="L1381" s="53"/>
    </row>
    <row r="1382" spans="1:16" ht="33.75" x14ac:dyDescent="0.2">
      <c r="B1382" s="43"/>
      <c r="D1382" s="476"/>
      <c r="E1382" s="520" t="s">
        <v>251</v>
      </c>
      <c r="F1382" s="358"/>
      <c r="G1382" s="307"/>
      <c r="H1382" s="360"/>
      <c r="I1382" s="312" t="s">
        <v>826</v>
      </c>
      <c r="J1382" s="232"/>
      <c r="K1382" s="71"/>
      <c r="L1382" s="233"/>
    </row>
    <row r="1383" spans="1:16" x14ac:dyDescent="0.2">
      <c r="B1383" s="43"/>
      <c r="D1383" s="476"/>
      <c r="E1383" s="521"/>
      <c r="F1383" s="792" t="s">
        <v>974</v>
      </c>
      <c r="G1383" s="793"/>
      <c r="H1383" s="794" t="s">
        <v>46</v>
      </c>
      <c r="I1383" s="807" t="s">
        <v>10</v>
      </c>
      <c r="J1383" s="816">
        <v>200000</v>
      </c>
      <c r="K1383" s="817"/>
      <c r="L1383" s="797">
        <f>SUM(J1383:K1383)</f>
        <v>200000</v>
      </c>
    </row>
    <row r="1384" spans="1:16" x14ac:dyDescent="0.2">
      <c r="B1384" s="43"/>
      <c r="D1384" s="476"/>
      <c r="E1384" s="518"/>
      <c r="F1384" s="284">
        <v>248</v>
      </c>
      <c r="G1384" s="41"/>
      <c r="H1384" s="285" t="s">
        <v>270</v>
      </c>
      <c r="I1384" s="194" t="s">
        <v>20</v>
      </c>
      <c r="J1384" s="56">
        <v>3706584.11</v>
      </c>
      <c r="K1384" s="52"/>
      <c r="L1384" s="51">
        <f>SUM(J1384:K1384)</f>
        <v>3706584.11</v>
      </c>
    </row>
    <row r="1385" spans="1:16" x14ac:dyDescent="0.2">
      <c r="B1385" s="43"/>
      <c r="D1385" s="476"/>
      <c r="E1385" s="518"/>
      <c r="F1385" s="284"/>
      <c r="G1385" s="47" t="s">
        <v>37</v>
      </c>
      <c r="H1385" s="285"/>
      <c r="I1385" s="194" t="s">
        <v>38</v>
      </c>
      <c r="J1385" s="56">
        <f>SUM(J1388-J1387)</f>
        <v>201175.60000000009</v>
      </c>
      <c r="K1385" s="52"/>
      <c r="L1385" s="51">
        <f t="shared" ref="L1385:L1388" si="69">SUM(J1385:K1385)</f>
        <v>201175.60000000009</v>
      </c>
    </row>
    <row r="1386" spans="1:16" x14ac:dyDescent="0.2">
      <c r="B1386" s="43"/>
      <c r="D1386" s="476"/>
      <c r="E1386" s="518"/>
      <c r="F1386" s="284"/>
      <c r="G1386" s="47" t="s">
        <v>113</v>
      </c>
      <c r="H1386" s="285"/>
      <c r="I1386" s="194" t="s">
        <v>280</v>
      </c>
      <c r="J1386" s="56">
        <v>0</v>
      </c>
      <c r="K1386" s="52"/>
      <c r="L1386" s="51">
        <f t="shared" si="69"/>
        <v>0</v>
      </c>
    </row>
    <row r="1387" spans="1:16" x14ac:dyDescent="0.2">
      <c r="B1387" s="43"/>
      <c r="D1387" s="476"/>
      <c r="E1387" s="518"/>
      <c r="F1387" s="284"/>
      <c r="G1387" s="47" t="s">
        <v>1081</v>
      </c>
      <c r="H1387" s="285"/>
      <c r="I1387" s="194" t="s">
        <v>1082</v>
      </c>
      <c r="J1387" s="56">
        <v>3705408.51</v>
      </c>
      <c r="K1387" s="52"/>
      <c r="L1387" s="51">
        <f t="shared" si="69"/>
        <v>3705408.51</v>
      </c>
    </row>
    <row r="1388" spans="1:16" s="173" customFormat="1" ht="15" x14ac:dyDescent="0.25">
      <c r="A1388" s="44"/>
      <c r="B1388" s="43"/>
      <c r="C1388" s="43"/>
      <c r="D1388" s="476"/>
      <c r="E1388" s="518"/>
      <c r="F1388" s="284"/>
      <c r="G1388" s="41"/>
      <c r="H1388" s="288"/>
      <c r="I1388" s="57" t="s">
        <v>710</v>
      </c>
      <c r="J1388" s="48">
        <f>SUM(J1383:J1384)</f>
        <v>3906584.11</v>
      </c>
      <c r="K1388" s="52"/>
      <c r="L1388" s="52">
        <f t="shared" si="69"/>
        <v>3906584.11</v>
      </c>
      <c r="M1388" s="1002"/>
      <c r="N1388" s="462"/>
      <c r="O1388" s="25"/>
      <c r="P1388" s="827"/>
    </row>
    <row r="1389" spans="1:16" x14ac:dyDescent="0.2">
      <c r="B1389" s="43"/>
      <c r="D1389" s="476"/>
      <c r="E1389" s="518"/>
      <c r="F1389" s="284"/>
      <c r="G1389" s="41"/>
      <c r="H1389" s="285"/>
      <c r="I1389" s="24"/>
      <c r="J1389" s="198"/>
      <c r="K1389" s="27"/>
      <c r="L1389" s="53"/>
    </row>
    <row r="1390" spans="1:16" ht="45" x14ac:dyDescent="0.2">
      <c r="B1390" s="43"/>
      <c r="D1390" s="476"/>
      <c r="E1390" s="520" t="s">
        <v>251</v>
      </c>
      <c r="F1390" s="358"/>
      <c r="G1390" s="307"/>
      <c r="H1390" s="360"/>
      <c r="I1390" s="312" t="s">
        <v>758</v>
      </c>
      <c r="J1390" s="232"/>
      <c r="K1390" s="71"/>
      <c r="L1390" s="233"/>
    </row>
    <row r="1391" spans="1:16" x14ac:dyDescent="0.2">
      <c r="B1391" s="43"/>
      <c r="D1391" s="476"/>
      <c r="E1391" s="521"/>
      <c r="F1391" s="792" t="s">
        <v>973</v>
      </c>
      <c r="G1391" s="793"/>
      <c r="H1391" s="794" t="s">
        <v>46</v>
      </c>
      <c r="I1391" s="807" t="s">
        <v>10</v>
      </c>
      <c r="J1391" s="816">
        <v>200000</v>
      </c>
      <c r="K1391" s="817"/>
      <c r="L1391" s="797">
        <f>SUM(J1391:K1391)</f>
        <v>200000</v>
      </c>
    </row>
    <row r="1392" spans="1:16" x14ac:dyDescent="0.2">
      <c r="B1392" s="43"/>
      <c r="D1392" s="476"/>
      <c r="E1392" s="518"/>
      <c r="F1392" s="284">
        <v>249</v>
      </c>
      <c r="G1392" s="41"/>
      <c r="H1392" s="285" t="s">
        <v>270</v>
      </c>
      <c r="I1392" s="194" t="s">
        <v>20</v>
      </c>
      <c r="J1392" s="56">
        <v>4284000</v>
      </c>
      <c r="K1392" s="52"/>
      <c r="L1392" s="51">
        <f>SUM(J1392:K1392)</f>
        <v>4284000</v>
      </c>
    </row>
    <row r="1393" spans="1:16" x14ac:dyDescent="0.2">
      <c r="B1393" s="43"/>
      <c r="D1393" s="476"/>
      <c r="E1393" s="518"/>
      <c r="F1393" s="284"/>
      <c r="G1393" s="47" t="s">
        <v>37</v>
      </c>
      <c r="H1393" s="285"/>
      <c r="I1393" s="194" t="s">
        <v>38</v>
      </c>
      <c r="J1393" s="56">
        <f>SUM(J1391:J1392)</f>
        <v>4484000</v>
      </c>
      <c r="K1393" s="52"/>
      <c r="L1393" s="51">
        <f>SUM(J1393:K1393)</f>
        <v>4484000</v>
      </c>
    </row>
    <row r="1394" spans="1:16" ht="15" x14ac:dyDescent="0.25">
      <c r="B1394" s="43"/>
      <c r="D1394" s="476"/>
      <c r="E1394" s="518"/>
      <c r="F1394" s="284"/>
      <c r="G1394" s="41"/>
      <c r="H1394" s="288"/>
      <c r="I1394" s="57" t="s">
        <v>710</v>
      </c>
      <c r="J1394" s="48">
        <f>SUM(J1393)</f>
        <v>4484000</v>
      </c>
      <c r="K1394" s="52"/>
      <c r="L1394" s="52">
        <f>SUM(J1393:K1393)</f>
        <v>4484000</v>
      </c>
      <c r="M1394" s="1014"/>
    </row>
    <row r="1395" spans="1:16" x14ac:dyDescent="0.2">
      <c r="B1395" s="43"/>
      <c r="D1395" s="476"/>
      <c r="E1395" s="518"/>
      <c r="F1395" s="284"/>
      <c r="G1395" s="41"/>
      <c r="H1395" s="285"/>
      <c r="I1395" s="24"/>
      <c r="J1395" s="198"/>
      <c r="K1395" s="27"/>
      <c r="L1395" s="53"/>
      <c r="M1395" s="1014"/>
    </row>
    <row r="1396" spans="1:16" ht="28.5" customHeight="1" x14ac:dyDescent="0.2">
      <c r="B1396" s="43"/>
      <c r="D1396" s="476"/>
      <c r="E1396" s="520" t="s">
        <v>251</v>
      </c>
      <c r="F1396" s="358"/>
      <c r="G1396" s="307"/>
      <c r="H1396" s="360"/>
      <c r="I1396" s="312" t="s">
        <v>825</v>
      </c>
      <c r="J1396" s="232"/>
      <c r="K1396" s="71"/>
      <c r="L1396" s="233"/>
    </row>
    <row r="1397" spans="1:16" s="165" customFormat="1" x14ac:dyDescent="0.2">
      <c r="A1397" s="44"/>
      <c r="B1397" s="43"/>
      <c r="C1397" s="43"/>
      <c r="D1397" s="476"/>
      <c r="E1397" s="518"/>
      <c r="F1397" s="284">
        <v>250</v>
      </c>
      <c r="G1397" s="41"/>
      <c r="H1397" s="285" t="s">
        <v>270</v>
      </c>
      <c r="I1397" s="194" t="s">
        <v>20</v>
      </c>
      <c r="J1397" s="973">
        <v>1</v>
      </c>
      <c r="K1397" s="969"/>
      <c r="L1397" s="963">
        <f>SUM(J1397:K1397)</f>
        <v>1</v>
      </c>
      <c r="M1397" s="992"/>
      <c r="N1397" s="834"/>
      <c r="O1397" s="163"/>
      <c r="P1397" s="832"/>
    </row>
    <row r="1398" spans="1:16" s="165" customFormat="1" x14ac:dyDescent="0.2">
      <c r="A1398" s="44"/>
      <c r="B1398" s="43"/>
      <c r="C1398" s="43"/>
      <c r="D1398" s="476"/>
      <c r="E1398" s="518"/>
      <c r="F1398" s="284"/>
      <c r="G1398" s="47" t="s">
        <v>37</v>
      </c>
      <c r="H1398" s="285"/>
      <c r="I1398" s="194" t="s">
        <v>38</v>
      </c>
      <c r="J1398" s="973">
        <f>SUM(J1397:J1397)</f>
        <v>1</v>
      </c>
      <c r="K1398" s="969"/>
      <c r="L1398" s="963">
        <f>SUM(J1397:K1397)</f>
        <v>1</v>
      </c>
      <c r="M1398" s="992"/>
      <c r="N1398" s="834"/>
      <c r="O1398" s="163"/>
      <c r="P1398" s="832"/>
    </row>
    <row r="1399" spans="1:16" ht="15" x14ac:dyDescent="0.25">
      <c r="B1399" s="43"/>
      <c r="D1399" s="476"/>
      <c r="E1399" s="518"/>
      <c r="F1399" s="284"/>
      <c r="G1399" s="41"/>
      <c r="H1399" s="288"/>
      <c r="I1399" s="57" t="s">
        <v>710</v>
      </c>
      <c r="J1399" s="978">
        <f>SUM(J1398)</f>
        <v>1</v>
      </c>
      <c r="K1399" s="969"/>
      <c r="L1399" s="969">
        <f>SUM(J1398:K1398)</f>
        <v>1</v>
      </c>
    </row>
    <row r="1400" spans="1:16" x14ac:dyDescent="0.2">
      <c r="B1400" s="43"/>
      <c r="D1400" s="476"/>
      <c r="E1400" s="518"/>
      <c r="F1400" s="284"/>
      <c r="G1400" s="41"/>
      <c r="H1400" s="285"/>
      <c r="I1400" s="24"/>
      <c r="J1400" s="198"/>
      <c r="K1400" s="27"/>
      <c r="L1400" s="53"/>
    </row>
    <row r="1401" spans="1:16" ht="27.75" customHeight="1" x14ac:dyDescent="0.2">
      <c r="B1401" s="43"/>
      <c r="D1401" s="476"/>
      <c r="E1401" s="520" t="s">
        <v>251</v>
      </c>
      <c r="F1401" s="358"/>
      <c r="G1401" s="307"/>
      <c r="H1401" s="360"/>
      <c r="I1401" s="312" t="s">
        <v>824</v>
      </c>
      <c r="J1401" s="232"/>
      <c r="K1401" s="71"/>
      <c r="L1401" s="233"/>
    </row>
    <row r="1402" spans="1:16" x14ac:dyDescent="0.2">
      <c r="B1402" s="43"/>
      <c r="D1402" s="476"/>
      <c r="E1402" s="518"/>
      <c r="F1402" s="284">
        <v>251</v>
      </c>
      <c r="G1402" s="41"/>
      <c r="H1402" s="285" t="s">
        <v>270</v>
      </c>
      <c r="I1402" s="194" t="s">
        <v>20</v>
      </c>
      <c r="J1402" s="56">
        <v>500000</v>
      </c>
      <c r="K1402" s="52"/>
      <c r="L1402" s="51">
        <f>SUM(J1402:K1402)</f>
        <v>500000</v>
      </c>
    </row>
    <row r="1403" spans="1:16" x14ac:dyDescent="0.2">
      <c r="B1403" s="43"/>
      <c r="D1403" s="476"/>
      <c r="E1403" s="518"/>
      <c r="F1403" s="284"/>
      <c r="G1403" s="47" t="s">
        <v>37</v>
      </c>
      <c r="H1403" s="285"/>
      <c r="I1403" s="194" t="s">
        <v>38</v>
      </c>
      <c r="J1403" s="56">
        <f>SUM(J1402:J1402)</f>
        <v>500000</v>
      </c>
      <c r="K1403" s="52"/>
      <c r="L1403" s="51">
        <f>SUM(J1402:K1402)</f>
        <v>500000</v>
      </c>
    </row>
    <row r="1404" spans="1:16" ht="15" x14ac:dyDescent="0.25">
      <c r="B1404" s="43"/>
      <c r="D1404" s="476"/>
      <c r="E1404" s="518"/>
      <c r="F1404" s="284"/>
      <c r="G1404" s="41"/>
      <c r="H1404" s="288"/>
      <c r="I1404" s="57" t="s">
        <v>710</v>
      </c>
      <c r="J1404" s="48">
        <f>SUM(J1403)</f>
        <v>500000</v>
      </c>
      <c r="K1404" s="52"/>
      <c r="L1404" s="52">
        <f>SUM(J1403:K1403)</f>
        <v>500000</v>
      </c>
    </row>
    <row r="1405" spans="1:16" x14ac:dyDescent="0.2">
      <c r="B1405" s="43"/>
      <c r="D1405" s="476"/>
      <c r="E1405" s="518"/>
      <c r="F1405" s="284"/>
      <c r="G1405" s="41"/>
      <c r="H1405" s="285"/>
      <c r="I1405" s="24"/>
      <c r="J1405" s="198"/>
      <c r="K1405" s="27"/>
      <c r="L1405" s="53"/>
    </row>
    <row r="1406" spans="1:16" ht="33.75" x14ac:dyDescent="0.2">
      <c r="B1406" s="43"/>
      <c r="D1406" s="476"/>
      <c r="E1406" s="520" t="s">
        <v>251</v>
      </c>
      <c r="F1406" s="358"/>
      <c r="G1406" s="307"/>
      <c r="H1406" s="360"/>
      <c r="I1406" s="312" t="s">
        <v>823</v>
      </c>
      <c r="J1406" s="232"/>
      <c r="K1406" s="71"/>
      <c r="L1406" s="233"/>
    </row>
    <row r="1407" spans="1:16" x14ac:dyDescent="0.2">
      <c r="B1407" s="43"/>
      <c r="D1407" s="476"/>
      <c r="E1407" s="518"/>
      <c r="F1407" s="284">
        <v>252</v>
      </c>
      <c r="G1407" s="41"/>
      <c r="H1407" s="285" t="s">
        <v>270</v>
      </c>
      <c r="I1407" s="194" t="s">
        <v>20</v>
      </c>
      <c r="J1407" s="973">
        <v>1</v>
      </c>
      <c r="K1407" s="969"/>
      <c r="L1407" s="963">
        <f>SUM(J1407:K1407)</f>
        <v>1</v>
      </c>
    </row>
    <row r="1408" spans="1:16" x14ac:dyDescent="0.2">
      <c r="B1408" s="43"/>
      <c r="D1408" s="476"/>
      <c r="E1408" s="518"/>
      <c r="F1408" s="284"/>
      <c r="G1408" s="47" t="s">
        <v>37</v>
      </c>
      <c r="H1408" s="285"/>
      <c r="I1408" s="194" t="s">
        <v>38</v>
      </c>
      <c r="J1408" s="973">
        <f>SUM(J1407:J1407)</f>
        <v>1</v>
      </c>
      <c r="K1408" s="969"/>
      <c r="L1408" s="963">
        <f>SUM(J1407:K1407)</f>
        <v>1</v>
      </c>
    </row>
    <row r="1409" spans="2:12" ht="15" x14ac:dyDescent="0.25">
      <c r="B1409" s="43"/>
      <c r="D1409" s="476"/>
      <c r="E1409" s="518"/>
      <c r="F1409" s="284"/>
      <c r="G1409" s="41"/>
      <c r="H1409" s="288"/>
      <c r="I1409" s="57" t="s">
        <v>710</v>
      </c>
      <c r="J1409" s="978">
        <f>SUM(J1408)</f>
        <v>1</v>
      </c>
      <c r="K1409" s="969"/>
      <c r="L1409" s="969">
        <f>SUM(J1408:K1408)</f>
        <v>1</v>
      </c>
    </row>
    <row r="1410" spans="2:12" x14ac:dyDescent="0.2">
      <c r="B1410" s="43"/>
      <c r="D1410" s="476"/>
      <c r="E1410" s="518"/>
      <c r="F1410" s="284"/>
      <c r="G1410" s="41"/>
      <c r="H1410" s="285"/>
      <c r="I1410" s="24"/>
      <c r="J1410" s="984"/>
      <c r="K1410" s="985"/>
      <c r="L1410" s="986"/>
    </row>
    <row r="1411" spans="2:12" ht="56.25" x14ac:dyDescent="0.2">
      <c r="B1411" s="43"/>
      <c r="D1411" s="476"/>
      <c r="E1411" s="520" t="s">
        <v>251</v>
      </c>
      <c r="F1411" s="358"/>
      <c r="G1411" s="307"/>
      <c r="H1411" s="360"/>
      <c r="I1411" s="312" t="s">
        <v>899</v>
      </c>
      <c r="J1411" s="232"/>
      <c r="K1411" s="71"/>
      <c r="L1411" s="233"/>
    </row>
    <row r="1412" spans="2:12" x14ac:dyDescent="0.2">
      <c r="B1412" s="43"/>
      <c r="D1412" s="476"/>
      <c r="E1412" s="521"/>
      <c r="F1412" s="792" t="s">
        <v>972</v>
      </c>
      <c r="G1412" s="793"/>
      <c r="H1412" s="794" t="s">
        <v>46</v>
      </c>
      <c r="I1412" s="807" t="s">
        <v>10</v>
      </c>
      <c r="J1412" s="816">
        <v>200000</v>
      </c>
      <c r="K1412" s="817"/>
      <c r="L1412" s="797">
        <f>SUM(J1412:K1412)</f>
        <v>200000</v>
      </c>
    </row>
    <row r="1413" spans="2:12" x14ac:dyDescent="0.2">
      <c r="B1413" s="43"/>
      <c r="D1413" s="476"/>
      <c r="E1413" s="518"/>
      <c r="F1413" s="284">
        <v>253</v>
      </c>
      <c r="G1413" s="41"/>
      <c r="H1413" s="285" t="s">
        <v>270</v>
      </c>
      <c r="I1413" s="194" t="s">
        <v>20</v>
      </c>
      <c r="J1413" s="56">
        <v>16000000</v>
      </c>
      <c r="K1413" s="52"/>
      <c r="L1413" s="51">
        <f>SUM(J1413:K1413)</f>
        <v>16000000</v>
      </c>
    </row>
    <row r="1414" spans="2:12" x14ac:dyDescent="0.2">
      <c r="B1414" s="43"/>
      <c r="D1414" s="476"/>
      <c r="E1414" s="518"/>
      <c r="F1414" s="284"/>
      <c r="G1414" s="47" t="s">
        <v>37</v>
      </c>
      <c r="H1414" s="285"/>
      <c r="I1414" s="194" t="s">
        <v>38</v>
      </c>
      <c r="J1414" s="56">
        <f>SUM(J1416-J1415)</f>
        <v>8200000</v>
      </c>
      <c r="K1414" s="52"/>
      <c r="L1414" s="51">
        <f>SUM(J1414:K1414)</f>
        <v>8200000</v>
      </c>
    </row>
    <row r="1415" spans="2:12" x14ac:dyDescent="0.2">
      <c r="B1415" s="43"/>
      <c r="D1415" s="476"/>
      <c r="E1415" s="518"/>
      <c r="F1415" s="284"/>
      <c r="G1415" s="47" t="s">
        <v>113</v>
      </c>
      <c r="H1415" s="285"/>
      <c r="I1415" s="194" t="s">
        <v>280</v>
      </c>
      <c r="J1415" s="56">
        <v>8000000</v>
      </c>
      <c r="K1415" s="51"/>
      <c r="L1415" s="51">
        <f>SUM(J1414:K1414)</f>
        <v>8200000</v>
      </c>
    </row>
    <row r="1416" spans="2:12" ht="15" x14ac:dyDescent="0.25">
      <c r="B1416" s="43"/>
      <c r="D1416" s="476"/>
      <c r="E1416" s="518"/>
      <c r="F1416" s="284"/>
      <c r="G1416" s="41"/>
      <c r="H1416" s="288"/>
      <c r="I1416" s="57" t="s">
        <v>710</v>
      </c>
      <c r="J1416" s="48">
        <f>SUM(J1412:J1413)</f>
        <v>16200000</v>
      </c>
      <c r="K1416" s="48"/>
      <c r="L1416" s="48">
        <f>SUM(J1416:K1416)</f>
        <v>16200000</v>
      </c>
    </row>
    <row r="1417" spans="2:12" x14ac:dyDescent="0.2">
      <c r="B1417" s="43"/>
      <c r="D1417" s="476"/>
      <c r="E1417" s="769"/>
      <c r="F1417" s="770"/>
      <c r="G1417" s="771"/>
      <c r="H1417" s="772"/>
      <c r="I1417" s="773"/>
      <c r="J1417" s="774"/>
      <c r="K1417" s="198"/>
      <c r="L1417" s="301"/>
    </row>
    <row r="1418" spans="2:12" ht="45" x14ac:dyDescent="0.2">
      <c r="B1418" s="43"/>
      <c r="D1418" s="476"/>
      <c r="E1418" s="520" t="s">
        <v>251</v>
      </c>
      <c r="F1418" s="358"/>
      <c r="G1418" s="307"/>
      <c r="H1418" s="360"/>
      <c r="I1418" s="312" t="s">
        <v>834</v>
      </c>
      <c r="J1418" s="232"/>
      <c r="K1418" s="71"/>
      <c r="L1418" s="233"/>
    </row>
    <row r="1419" spans="2:12" x14ac:dyDescent="0.2">
      <c r="B1419" s="43"/>
      <c r="D1419" s="476"/>
      <c r="E1419" s="521"/>
      <c r="F1419" s="792" t="s">
        <v>971</v>
      </c>
      <c r="G1419" s="793"/>
      <c r="H1419" s="794" t="s">
        <v>46</v>
      </c>
      <c r="I1419" s="807" t="s">
        <v>10</v>
      </c>
      <c r="J1419" s="816">
        <v>200000</v>
      </c>
      <c r="K1419" s="817"/>
      <c r="L1419" s="797">
        <f>SUM(J1419:K1419)</f>
        <v>200000</v>
      </c>
    </row>
    <row r="1420" spans="2:12" x14ac:dyDescent="0.2">
      <c r="B1420" s="43"/>
      <c r="D1420" s="476"/>
      <c r="E1420" s="518"/>
      <c r="F1420" s="284">
        <v>254</v>
      </c>
      <c r="G1420" s="41"/>
      <c r="H1420" s="285" t="s">
        <v>270</v>
      </c>
      <c r="I1420" s="194" t="s">
        <v>20</v>
      </c>
      <c r="J1420" s="56">
        <v>100000</v>
      </c>
      <c r="K1420" s="52"/>
      <c r="L1420" s="51">
        <f t="shared" ref="L1420:L1422" si="70">SUM(J1420:K1420)</f>
        <v>100000</v>
      </c>
    </row>
    <row r="1421" spans="2:12" x14ac:dyDescent="0.2">
      <c r="B1421" s="43"/>
      <c r="D1421" s="476"/>
      <c r="E1421" s="518"/>
      <c r="F1421" s="284"/>
      <c r="G1421" s="47" t="s">
        <v>37</v>
      </c>
      <c r="H1421" s="285"/>
      <c r="I1421" s="194" t="s">
        <v>38</v>
      </c>
      <c r="J1421" s="56">
        <f>SUM(J1423-J1422)</f>
        <v>250000</v>
      </c>
      <c r="K1421" s="52"/>
      <c r="L1421" s="51">
        <f t="shared" si="70"/>
        <v>250000</v>
      </c>
    </row>
    <row r="1422" spans="2:12" x14ac:dyDescent="0.2">
      <c r="B1422" s="43"/>
      <c r="D1422" s="476"/>
      <c r="E1422" s="518"/>
      <c r="F1422" s="284"/>
      <c r="G1422" s="47" t="s">
        <v>113</v>
      </c>
      <c r="H1422" s="285"/>
      <c r="I1422" s="194" t="s">
        <v>280</v>
      </c>
      <c r="J1422" s="56">
        <v>50000</v>
      </c>
      <c r="K1422" s="51"/>
      <c r="L1422" s="51">
        <f t="shared" si="70"/>
        <v>50000</v>
      </c>
    </row>
    <row r="1423" spans="2:12" x14ac:dyDescent="0.2">
      <c r="B1423" s="43"/>
      <c r="D1423" s="476"/>
      <c r="E1423" s="518"/>
      <c r="F1423" s="284"/>
      <c r="G1423" s="41"/>
      <c r="H1423" s="285"/>
      <c r="I1423" s="57" t="s">
        <v>710</v>
      </c>
      <c r="J1423" s="48">
        <f>SUM(J1419:J1420)</f>
        <v>300000</v>
      </c>
      <c r="K1423" s="48"/>
      <c r="L1423" s="48">
        <f>SUM(J1423:K1423)</f>
        <v>300000</v>
      </c>
    </row>
    <row r="1424" spans="2:12" x14ac:dyDescent="0.2">
      <c r="B1424" s="43"/>
      <c r="D1424" s="476"/>
      <c r="E1424" s="518"/>
      <c r="F1424" s="284"/>
      <c r="G1424" s="41"/>
      <c r="H1424" s="285"/>
      <c r="I1424" s="24"/>
      <c r="J1424" s="198"/>
      <c r="K1424" s="198"/>
      <c r="L1424" s="301"/>
    </row>
    <row r="1425" spans="2:13" x14ac:dyDescent="0.2">
      <c r="B1425" s="43"/>
      <c r="D1425" s="476"/>
      <c r="E1425" s="520" t="s">
        <v>251</v>
      </c>
      <c r="F1425" s="358"/>
      <c r="G1425" s="307"/>
      <c r="H1425" s="360"/>
      <c r="I1425" s="312" t="s">
        <v>822</v>
      </c>
      <c r="J1425" s="232"/>
      <c r="K1425" s="71"/>
      <c r="L1425" s="233"/>
    </row>
    <row r="1426" spans="2:13" x14ac:dyDescent="0.2">
      <c r="B1426" s="43"/>
      <c r="D1426" s="476"/>
      <c r="E1426" s="518"/>
      <c r="F1426" s="284">
        <v>255</v>
      </c>
      <c r="G1426" s="41"/>
      <c r="H1426" s="285" t="s">
        <v>270</v>
      </c>
      <c r="I1426" s="194" t="s">
        <v>20</v>
      </c>
      <c r="J1426" s="56">
        <v>2000000</v>
      </c>
      <c r="K1426" s="52"/>
      <c r="L1426" s="51">
        <f>SUM(J1426:K1426)</f>
        <v>2000000</v>
      </c>
    </row>
    <row r="1427" spans="2:13" x14ac:dyDescent="0.2">
      <c r="B1427" s="43"/>
      <c r="D1427" s="476"/>
      <c r="E1427" s="518"/>
      <c r="F1427" s="284"/>
      <c r="G1427" s="47" t="s">
        <v>113</v>
      </c>
      <c r="H1427" s="285"/>
      <c r="I1427" s="194" t="s">
        <v>280</v>
      </c>
      <c r="J1427" s="56">
        <f>SUM(J1426)</f>
        <v>2000000</v>
      </c>
      <c r="K1427" s="56"/>
      <c r="L1427" s="56">
        <f t="shared" ref="L1427" si="71">SUM(L1426)</f>
        <v>2000000</v>
      </c>
      <c r="M1427" s="1019"/>
    </row>
    <row r="1428" spans="2:13" ht="15" x14ac:dyDescent="0.25">
      <c r="B1428" s="43"/>
      <c r="D1428" s="476"/>
      <c r="E1428" s="518"/>
      <c r="F1428" s="284"/>
      <c r="G1428" s="41"/>
      <c r="H1428" s="288"/>
      <c r="I1428" s="57" t="s">
        <v>710</v>
      </c>
      <c r="J1428" s="48">
        <f>SUM(J1426)</f>
        <v>2000000</v>
      </c>
      <c r="K1428" s="48"/>
      <c r="L1428" s="48">
        <f>SUM(L1426)</f>
        <v>2000000</v>
      </c>
    </row>
    <row r="1429" spans="2:13" x14ac:dyDescent="0.2">
      <c r="B1429" s="43"/>
      <c r="D1429" s="476"/>
      <c r="E1429" s="518"/>
      <c r="F1429" s="284"/>
      <c r="G1429" s="41"/>
      <c r="H1429" s="285"/>
      <c r="I1429" s="24"/>
      <c r="J1429" s="198"/>
      <c r="K1429" s="198"/>
      <c r="L1429" s="301"/>
    </row>
    <row r="1430" spans="2:13" ht="22.5" x14ac:dyDescent="0.2">
      <c r="B1430" s="43"/>
      <c r="D1430" s="476"/>
      <c r="E1430" s="520" t="s">
        <v>251</v>
      </c>
      <c r="F1430" s="358"/>
      <c r="G1430" s="307"/>
      <c r="H1430" s="360"/>
      <c r="I1430" s="312" t="s">
        <v>821</v>
      </c>
      <c r="J1430" s="232"/>
      <c r="K1430" s="71"/>
      <c r="L1430" s="233"/>
    </row>
    <row r="1431" spans="2:13" x14ac:dyDescent="0.2">
      <c r="B1431" s="43"/>
      <c r="D1431" s="476"/>
      <c r="E1431" s="518"/>
      <c r="F1431" s="284">
        <v>256</v>
      </c>
      <c r="G1431" s="41"/>
      <c r="H1431" s="285" t="s">
        <v>270</v>
      </c>
      <c r="I1431" s="194" t="s">
        <v>20</v>
      </c>
      <c r="J1431" s="56">
        <v>100000</v>
      </c>
      <c r="K1431" s="52"/>
      <c r="L1431" s="51">
        <f>SUM(J1431:K1431)</f>
        <v>100000</v>
      </c>
    </row>
    <row r="1432" spans="2:13" x14ac:dyDescent="0.2">
      <c r="B1432" s="43"/>
      <c r="D1432" s="476"/>
      <c r="E1432" s="518"/>
      <c r="F1432" s="284"/>
      <c r="G1432" s="47" t="s">
        <v>37</v>
      </c>
      <c r="H1432" s="285"/>
      <c r="I1432" s="194" t="s">
        <v>38</v>
      </c>
      <c r="J1432" s="56">
        <f>SUM(J1434-J1433)</f>
        <v>50000</v>
      </c>
      <c r="K1432" s="56"/>
      <c r="L1432" s="51">
        <f t="shared" ref="L1432:L1433" si="72">SUM(J1432:K1432)</f>
        <v>50000</v>
      </c>
    </row>
    <row r="1433" spans="2:13" x14ac:dyDescent="0.2">
      <c r="B1433" s="43"/>
      <c r="D1433" s="476"/>
      <c r="E1433" s="518"/>
      <c r="F1433" s="284"/>
      <c r="G1433" s="47" t="s">
        <v>113</v>
      </c>
      <c r="H1433" s="285"/>
      <c r="I1433" s="194" t="s">
        <v>280</v>
      </c>
      <c r="J1433" s="56">
        <v>50000</v>
      </c>
      <c r="K1433" s="56"/>
      <c r="L1433" s="51">
        <f t="shared" si="72"/>
        <v>50000</v>
      </c>
    </row>
    <row r="1434" spans="2:13" x14ac:dyDescent="0.2">
      <c r="B1434" s="43"/>
      <c r="D1434" s="476"/>
      <c r="E1434" s="518"/>
      <c r="F1434" s="284"/>
      <c r="G1434" s="41"/>
      <c r="H1434" s="285"/>
      <c r="I1434" s="57" t="s">
        <v>710</v>
      </c>
      <c r="J1434" s="48">
        <f>SUM(J1431)</f>
        <v>100000</v>
      </c>
      <c r="K1434" s="48"/>
      <c r="L1434" s="48">
        <f>SUM(L1431)</f>
        <v>100000</v>
      </c>
    </row>
    <row r="1435" spans="2:13" x14ac:dyDescent="0.2">
      <c r="B1435" s="43"/>
      <c r="D1435" s="476"/>
      <c r="E1435" s="518"/>
      <c r="F1435" s="284"/>
      <c r="G1435" s="41"/>
      <c r="H1435" s="285"/>
      <c r="I1435" s="24"/>
      <c r="J1435" s="198"/>
      <c r="K1435" s="198"/>
      <c r="L1435" s="301"/>
    </row>
    <row r="1436" spans="2:13" x14ac:dyDescent="0.2">
      <c r="B1436" s="43"/>
      <c r="D1436" s="476"/>
      <c r="E1436" s="520" t="s">
        <v>251</v>
      </c>
      <c r="F1436" s="358"/>
      <c r="G1436" s="307"/>
      <c r="H1436" s="360"/>
      <c r="I1436" s="312" t="s">
        <v>820</v>
      </c>
      <c r="J1436" s="232"/>
      <c r="K1436" s="71"/>
      <c r="L1436" s="233"/>
    </row>
    <row r="1437" spans="2:13" x14ac:dyDescent="0.2">
      <c r="B1437" s="43"/>
      <c r="D1437" s="476"/>
      <c r="E1437" s="518"/>
      <c r="F1437" s="284">
        <v>257</v>
      </c>
      <c r="G1437" s="41"/>
      <c r="H1437" s="285" t="s">
        <v>270</v>
      </c>
      <c r="I1437" s="194" t="s">
        <v>20</v>
      </c>
      <c r="J1437" s="56">
        <v>4000000</v>
      </c>
      <c r="K1437" s="52"/>
      <c r="L1437" s="51">
        <f>SUM(J1437:K1437)</f>
        <v>4000000</v>
      </c>
    </row>
    <row r="1438" spans="2:13" x14ac:dyDescent="0.2">
      <c r="B1438" s="43"/>
      <c r="D1438" s="476"/>
      <c r="E1438" s="518"/>
      <c r="F1438" s="284"/>
      <c r="G1438" s="47" t="s">
        <v>113</v>
      </c>
      <c r="H1438" s="285"/>
      <c r="I1438" s="194" t="s">
        <v>280</v>
      </c>
      <c r="J1438" s="56">
        <f>SUM(J1437)</f>
        <v>4000000</v>
      </c>
      <c r="K1438" s="56"/>
      <c r="L1438" s="51">
        <f t="shared" ref="L1438" si="73">SUM(J1438:K1438)</f>
        <v>4000000</v>
      </c>
    </row>
    <row r="1439" spans="2:13" ht="15" x14ac:dyDescent="0.25">
      <c r="B1439" s="43"/>
      <c r="D1439" s="476"/>
      <c r="E1439" s="518"/>
      <c r="F1439" s="284"/>
      <c r="G1439" s="41"/>
      <c r="H1439" s="288"/>
      <c r="I1439" s="57" t="s">
        <v>710</v>
      </c>
      <c r="J1439" s="48">
        <f>SUM(J1437)</f>
        <v>4000000</v>
      </c>
      <c r="K1439" s="48"/>
      <c r="L1439" s="48">
        <f>SUM(L1437)</f>
        <v>4000000</v>
      </c>
    </row>
    <row r="1440" spans="2:13" x14ac:dyDescent="0.2">
      <c r="B1440" s="43"/>
      <c r="D1440" s="476"/>
      <c r="E1440" s="518"/>
      <c r="F1440" s="284"/>
      <c r="G1440" s="41"/>
      <c r="H1440" s="285"/>
      <c r="I1440" s="24"/>
      <c r="J1440" s="198"/>
      <c r="K1440" s="198"/>
      <c r="L1440" s="301"/>
    </row>
    <row r="1441" spans="1:12" x14ac:dyDescent="0.2">
      <c r="B1441" s="43"/>
      <c r="D1441" s="476"/>
      <c r="E1441" s="520" t="s">
        <v>251</v>
      </c>
      <c r="F1441" s="358"/>
      <c r="G1441" s="307"/>
      <c r="H1441" s="360"/>
      <c r="I1441" s="312" t="s">
        <v>819</v>
      </c>
      <c r="J1441" s="232"/>
      <c r="K1441" s="71"/>
      <c r="L1441" s="233"/>
    </row>
    <row r="1442" spans="1:12" x14ac:dyDescent="0.2">
      <c r="B1442" s="43"/>
      <c r="D1442" s="476"/>
      <c r="E1442" s="518"/>
      <c r="F1442" s="284">
        <v>258</v>
      </c>
      <c r="G1442" s="41"/>
      <c r="H1442" s="285" t="s">
        <v>270</v>
      </c>
      <c r="I1442" s="194" t="s">
        <v>20</v>
      </c>
      <c r="J1442" s="56">
        <v>1800000</v>
      </c>
      <c r="K1442" s="52"/>
      <c r="L1442" s="51">
        <f>SUM(J1442:K1442)</f>
        <v>1800000</v>
      </c>
    </row>
    <row r="1443" spans="1:12" x14ac:dyDescent="0.2">
      <c r="B1443" s="43"/>
      <c r="D1443" s="476"/>
      <c r="E1443" s="518"/>
      <c r="F1443" s="284"/>
      <c r="G1443" s="47" t="s">
        <v>37</v>
      </c>
      <c r="H1443" s="285"/>
      <c r="I1443" s="194" t="s">
        <v>38</v>
      </c>
      <c r="J1443" s="56">
        <f>SUM(J1445-J1444)</f>
        <v>900000</v>
      </c>
      <c r="K1443" s="56"/>
      <c r="L1443" s="51">
        <f t="shared" ref="L1443:L1444" si="74">SUM(J1443:K1443)</f>
        <v>900000</v>
      </c>
    </row>
    <row r="1444" spans="1:12" x14ac:dyDescent="0.2">
      <c r="B1444" s="43"/>
      <c r="D1444" s="476"/>
      <c r="E1444" s="518"/>
      <c r="F1444" s="284"/>
      <c r="G1444" s="47" t="s">
        <v>113</v>
      </c>
      <c r="H1444" s="285"/>
      <c r="I1444" s="194" t="s">
        <v>280</v>
      </c>
      <c r="J1444" s="56">
        <v>900000</v>
      </c>
      <c r="K1444" s="56"/>
      <c r="L1444" s="51">
        <f t="shared" si="74"/>
        <v>900000</v>
      </c>
    </row>
    <row r="1445" spans="1:12" ht="15" x14ac:dyDescent="0.25">
      <c r="B1445" s="43"/>
      <c r="D1445" s="476"/>
      <c r="E1445" s="518"/>
      <c r="F1445" s="284"/>
      <c r="G1445" s="41"/>
      <c r="H1445" s="288"/>
      <c r="I1445" s="57" t="s">
        <v>710</v>
      </c>
      <c r="J1445" s="48">
        <f>SUM(J1442)</f>
        <v>1800000</v>
      </c>
      <c r="K1445" s="48"/>
      <c r="L1445" s="48">
        <f>SUM(L1442)</f>
        <v>1800000</v>
      </c>
    </row>
    <row r="1446" spans="1:12" x14ac:dyDescent="0.2">
      <c r="B1446" s="43"/>
      <c r="D1446" s="476"/>
      <c r="E1446" s="518"/>
      <c r="F1446" s="284"/>
      <c r="G1446" s="41"/>
      <c r="H1446" s="285"/>
      <c r="I1446" s="24"/>
      <c r="J1446" s="198"/>
      <c r="K1446" s="198"/>
      <c r="L1446" s="301"/>
    </row>
    <row r="1447" spans="1:12" ht="22.5" x14ac:dyDescent="0.2">
      <c r="B1447" s="43"/>
      <c r="D1447" s="476"/>
      <c r="E1447" s="520" t="s">
        <v>251</v>
      </c>
      <c r="F1447" s="358"/>
      <c r="G1447" s="307"/>
      <c r="H1447" s="360"/>
      <c r="I1447" s="312" t="s">
        <v>818</v>
      </c>
      <c r="J1447" s="232"/>
      <c r="K1447" s="71"/>
      <c r="L1447" s="233"/>
    </row>
    <row r="1448" spans="1:12" x14ac:dyDescent="0.2">
      <c r="B1448" s="43"/>
      <c r="D1448" s="476"/>
      <c r="E1448" s="518"/>
      <c r="F1448" s="284">
        <v>259</v>
      </c>
      <c r="G1448" s="41"/>
      <c r="H1448" s="285" t="s">
        <v>270</v>
      </c>
      <c r="I1448" s="194" t="s">
        <v>20</v>
      </c>
      <c r="J1448" s="56">
        <v>900000</v>
      </c>
      <c r="K1448" s="52"/>
      <c r="L1448" s="51">
        <f>SUM(J1448:K1448)</f>
        <v>900000</v>
      </c>
    </row>
    <row r="1449" spans="1:12" x14ac:dyDescent="0.2">
      <c r="B1449" s="43"/>
      <c r="D1449" s="476"/>
      <c r="E1449" s="518"/>
      <c r="F1449" s="284"/>
      <c r="G1449" s="47" t="s">
        <v>37</v>
      </c>
      <c r="H1449" s="285"/>
      <c r="I1449" s="194" t="s">
        <v>38</v>
      </c>
      <c r="J1449" s="56">
        <f>SUM(J1451-J1450)</f>
        <v>450000</v>
      </c>
      <c r="K1449" s="56"/>
      <c r="L1449" s="51">
        <f t="shared" ref="L1449:L1450" si="75">SUM(J1449:K1449)</f>
        <v>450000</v>
      </c>
    </row>
    <row r="1450" spans="1:12" x14ac:dyDescent="0.2">
      <c r="B1450" s="43"/>
      <c r="D1450" s="476"/>
      <c r="E1450" s="518"/>
      <c r="F1450" s="284"/>
      <c r="G1450" s="47" t="s">
        <v>113</v>
      </c>
      <c r="H1450" s="285"/>
      <c r="I1450" s="194" t="s">
        <v>280</v>
      </c>
      <c r="J1450" s="56">
        <v>450000</v>
      </c>
      <c r="K1450" s="56"/>
      <c r="L1450" s="51">
        <f t="shared" si="75"/>
        <v>450000</v>
      </c>
    </row>
    <row r="1451" spans="1:12" ht="15" x14ac:dyDescent="0.25">
      <c r="A1451" s="43"/>
      <c r="B1451" s="43"/>
      <c r="C1451" s="646"/>
      <c r="D1451" s="476"/>
      <c r="E1451" s="518"/>
      <c r="F1451" s="284"/>
      <c r="G1451" s="41"/>
      <c r="H1451" s="288"/>
      <c r="I1451" s="57" t="s">
        <v>710</v>
      </c>
      <c r="J1451" s="48">
        <f>SUM(J1448)</f>
        <v>900000</v>
      </c>
      <c r="K1451" s="48"/>
      <c r="L1451" s="48">
        <f>SUM(L1448)</f>
        <v>900000</v>
      </c>
    </row>
    <row r="1452" spans="1:12" ht="15" x14ac:dyDescent="0.2">
      <c r="A1452" s="43"/>
      <c r="B1452" s="43"/>
      <c r="C1452" s="646"/>
      <c r="D1452" s="476"/>
      <c r="E1452" s="518"/>
      <c r="F1452" s="284"/>
      <c r="G1452" s="41"/>
      <c r="H1452" s="285"/>
      <c r="I1452" s="24"/>
      <c r="J1452" s="198"/>
      <c r="K1452" s="198"/>
      <c r="L1452" s="301"/>
    </row>
    <row r="1453" spans="1:12" ht="15" x14ac:dyDescent="0.2">
      <c r="A1453" s="43"/>
      <c r="B1453" s="43"/>
      <c r="C1453" s="646"/>
      <c r="D1453" s="476"/>
      <c r="E1453" s="520" t="s">
        <v>251</v>
      </c>
      <c r="F1453" s="358"/>
      <c r="G1453" s="307"/>
      <c r="H1453" s="360"/>
      <c r="I1453" s="312" t="s">
        <v>817</v>
      </c>
      <c r="J1453" s="232"/>
      <c r="K1453" s="71"/>
      <c r="L1453" s="233"/>
    </row>
    <row r="1454" spans="1:12" ht="15" x14ac:dyDescent="0.2">
      <c r="A1454" s="43"/>
      <c r="B1454" s="43"/>
      <c r="C1454" s="646"/>
      <c r="D1454" s="476"/>
      <c r="E1454" s="518"/>
      <c r="F1454" s="284">
        <v>260</v>
      </c>
      <c r="G1454" s="41"/>
      <c r="H1454" s="285" t="s">
        <v>270</v>
      </c>
      <c r="I1454" s="194" t="s">
        <v>20</v>
      </c>
      <c r="J1454" s="56">
        <v>1500000</v>
      </c>
      <c r="K1454" s="52"/>
      <c r="L1454" s="51">
        <f>SUM(J1454:K1454)</f>
        <v>1500000</v>
      </c>
    </row>
    <row r="1455" spans="1:12" ht="15" x14ac:dyDescent="0.2">
      <c r="A1455" s="43"/>
      <c r="B1455" s="43"/>
      <c r="C1455" s="646"/>
      <c r="D1455" s="476"/>
      <c r="E1455" s="518"/>
      <c r="F1455" s="284"/>
      <c r="G1455" s="47" t="s">
        <v>37</v>
      </c>
      <c r="H1455" s="285"/>
      <c r="I1455" s="194" t="s">
        <v>38</v>
      </c>
      <c r="J1455" s="56">
        <f>SUM(J1457-J1456)</f>
        <v>750000</v>
      </c>
      <c r="K1455" s="56"/>
      <c r="L1455" s="51">
        <f t="shared" ref="L1455:L1456" si="76">SUM(J1455:K1455)</f>
        <v>750000</v>
      </c>
    </row>
    <row r="1456" spans="1:12" ht="15" x14ac:dyDescent="0.2">
      <c r="A1456" s="43"/>
      <c r="B1456" s="43"/>
      <c r="C1456" s="646"/>
      <c r="D1456" s="476"/>
      <c r="E1456" s="518"/>
      <c r="F1456" s="284"/>
      <c r="G1456" s="47" t="s">
        <v>113</v>
      </c>
      <c r="H1456" s="285"/>
      <c r="I1456" s="194" t="s">
        <v>280</v>
      </c>
      <c r="J1456" s="56">
        <v>750000</v>
      </c>
      <c r="K1456" s="56"/>
      <c r="L1456" s="51">
        <f t="shared" si="76"/>
        <v>750000</v>
      </c>
    </row>
    <row r="1457" spans="1:12" ht="15" x14ac:dyDescent="0.25">
      <c r="A1457" s="43"/>
      <c r="B1457" s="43"/>
      <c r="C1457" s="646"/>
      <c r="D1457" s="476"/>
      <c r="E1457" s="518"/>
      <c r="F1457" s="284"/>
      <c r="G1457" s="41"/>
      <c r="H1457" s="288"/>
      <c r="I1457" s="57" t="s">
        <v>710</v>
      </c>
      <c r="J1457" s="48">
        <f>SUM(J1454)</f>
        <v>1500000</v>
      </c>
      <c r="K1457" s="48"/>
      <c r="L1457" s="48">
        <f>SUM(L1454)</f>
        <v>1500000</v>
      </c>
    </row>
    <row r="1458" spans="1:12" ht="15" x14ac:dyDescent="0.2">
      <c r="A1458" s="43"/>
      <c r="B1458" s="43"/>
      <c r="C1458" s="646"/>
      <c r="D1458" s="476"/>
      <c r="E1458" s="518"/>
      <c r="F1458" s="284"/>
      <c r="G1458" s="41"/>
      <c r="H1458" s="285"/>
      <c r="I1458" s="24"/>
      <c r="J1458" s="198"/>
      <c r="K1458" s="198"/>
      <c r="L1458" s="301"/>
    </row>
    <row r="1459" spans="1:12" ht="15" x14ac:dyDescent="0.2">
      <c r="A1459" s="43"/>
      <c r="B1459" s="43"/>
      <c r="C1459" s="646"/>
      <c r="D1459" s="476"/>
      <c r="E1459" s="520" t="s">
        <v>251</v>
      </c>
      <c r="F1459" s="358"/>
      <c r="G1459" s="307"/>
      <c r="H1459" s="360"/>
      <c r="I1459" s="312" t="s">
        <v>816</v>
      </c>
      <c r="J1459" s="232"/>
      <c r="K1459" s="71"/>
      <c r="L1459" s="233"/>
    </row>
    <row r="1460" spans="1:12" ht="15" x14ac:dyDescent="0.2">
      <c r="A1460" s="43"/>
      <c r="B1460" s="43"/>
      <c r="C1460" s="646"/>
      <c r="D1460" s="476"/>
      <c r="E1460" s="518"/>
      <c r="F1460" s="284">
        <v>261</v>
      </c>
      <c r="G1460" s="41"/>
      <c r="H1460" s="285" t="s">
        <v>270</v>
      </c>
      <c r="I1460" s="194" t="s">
        <v>20</v>
      </c>
      <c r="J1460" s="56">
        <v>1800000</v>
      </c>
      <c r="K1460" s="52"/>
      <c r="L1460" s="51">
        <f>SUM(J1460:K1460)</f>
        <v>1800000</v>
      </c>
    </row>
    <row r="1461" spans="1:12" ht="15" x14ac:dyDescent="0.2">
      <c r="A1461" s="43"/>
      <c r="B1461" s="43"/>
      <c r="C1461" s="646"/>
      <c r="D1461" s="476"/>
      <c r="E1461" s="518"/>
      <c r="F1461" s="284"/>
      <c r="G1461" s="47" t="s">
        <v>37</v>
      </c>
      <c r="H1461" s="285"/>
      <c r="I1461" s="194" t="s">
        <v>38</v>
      </c>
      <c r="J1461" s="56">
        <f>SUM(J1463-J1462)</f>
        <v>900000</v>
      </c>
      <c r="K1461" s="56"/>
      <c r="L1461" s="51">
        <f t="shared" ref="L1461:L1462" si="77">SUM(J1461:K1461)</f>
        <v>900000</v>
      </c>
    </row>
    <row r="1462" spans="1:12" ht="15" x14ac:dyDescent="0.2">
      <c r="A1462" s="43"/>
      <c r="B1462" s="43"/>
      <c r="C1462" s="646"/>
      <c r="D1462" s="476"/>
      <c r="E1462" s="518"/>
      <c r="F1462" s="284"/>
      <c r="G1462" s="47" t="s">
        <v>113</v>
      </c>
      <c r="H1462" s="285"/>
      <c r="I1462" s="194" t="s">
        <v>280</v>
      </c>
      <c r="J1462" s="56">
        <v>900000</v>
      </c>
      <c r="K1462" s="56"/>
      <c r="L1462" s="51">
        <f t="shared" si="77"/>
        <v>900000</v>
      </c>
    </row>
    <row r="1463" spans="1:12" ht="15" x14ac:dyDescent="0.25">
      <c r="A1463" s="43"/>
      <c r="B1463" s="43"/>
      <c r="C1463" s="646"/>
      <c r="D1463" s="476"/>
      <c r="E1463" s="518"/>
      <c r="F1463" s="284"/>
      <c r="G1463" s="41"/>
      <c r="H1463" s="288"/>
      <c r="I1463" s="57" t="s">
        <v>710</v>
      </c>
      <c r="J1463" s="48">
        <f>SUM(J1460)</f>
        <v>1800000</v>
      </c>
      <c r="K1463" s="48"/>
      <c r="L1463" s="48">
        <f>SUM(L1460)</f>
        <v>1800000</v>
      </c>
    </row>
    <row r="1464" spans="1:12" ht="15" x14ac:dyDescent="0.2">
      <c r="A1464" s="43"/>
      <c r="B1464" s="43"/>
      <c r="C1464" s="646"/>
      <c r="D1464" s="476"/>
      <c r="E1464" s="518"/>
      <c r="F1464" s="284"/>
      <c r="G1464" s="41"/>
      <c r="H1464" s="285"/>
      <c r="I1464" s="24"/>
      <c r="J1464" s="198"/>
      <c r="K1464" s="198"/>
      <c r="L1464" s="301"/>
    </row>
    <row r="1465" spans="1:12" ht="22.5" x14ac:dyDescent="0.2">
      <c r="A1465" s="43"/>
      <c r="B1465" s="43"/>
      <c r="C1465" s="646"/>
      <c r="D1465" s="476"/>
      <c r="E1465" s="520" t="s">
        <v>251</v>
      </c>
      <c r="F1465" s="358"/>
      <c r="G1465" s="307"/>
      <c r="H1465" s="360"/>
      <c r="I1465" s="312" t="s">
        <v>815</v>
      </c>
      <c r="J1465" s="232"/>
      <c r="K1465" s="71"/>
      <c r="L1465" s="233"/>
    </row>
    <row r="1466" spans="1:12" ht="15" x14ac:dyDescent="0.2">
      <c r="A1466" s="43"/>
      <c r="B1466" s="43"/>
      <c r="C1466" s="646"/>
      <c r="D1466" s="476"/>
      <c r="E1466" s="518"/>
      <c r="F1466" s="284">
        <v>262</v>
      </c>
      <c r="G1466" s="41"/>
      <c r="H1466" s="285" t="s">
        <v>270</v>
      </c>
      <c r="I1466" s="194" t="s">
        <v>20</v>
      </c>
      <c r="J1466" s="56">
        <v>180000</v>
      </c>
      <c r="K1466" s="52"/>
      <c r="L1466" s="51">
        <f>SUM(J1466:K1466)</f>
        <v>180000</v>
      </c>
    </row>
    <row r="1467" spans="1:12" ht="15" x14ac:dyDescent="0.2">
      <c r="A1467" s="43"/>
      <c r="B1467" s="43"/>
      <c r="C1467" s="646"/>
      <c r="D1467" s="476"/>
      <c r="E1467" s="518"/>
      <c r="F1467" s="284"/>
      <c r="G1467" s="47" t="s">
        <v>37</v>
      </c>
      <c r="H1467" s="285"/>
      <c r="I1467" s="194" t="s">
        <v>38</v>
      </c>
      <c r="J1467" s="56">
        <f>SUM(J1469-J1468)</f>
        <v>90000</v>
      </c>
      <c r="K1467" s="56"/>
      <c r="L1467" s="51">
        <f t="shared" ref="L1467:L1468" si="78">SUM(J1467:K1467)</f>
        <v>90000</v>
      </c>
    </row>
    <row r="1468" spans="1:12" ht="15" x14ac:dyDescent="0.2">
      <c r="A1468" s="43"/>
      <c r="B1468" s="43"/>
      <c r="C1468" s="646"/>
      <c r="D1468" s="476"/>
      <c r="E1468" s="518"/>
      <c r="F1468" s="284"/>
      <c r="G1468" s="47" t="s">
        <v>113</v>
      </c>
      <c r="H1468" s="285"/>
      <c r="I1468" s="194" t="s">
        <v>280</v>
      </c>
      <c r="J1468" s="56">
        <v>90000</v>
      </c>
      <c r="K1468" s="56"/>
      <c r="L1468" s="51">
        <f t="shared" si="78"/>
        <v>90000</v>
      </c>
    </row>
    <row r="1469" spans="1:12" ht="15" x14ac:dyDescent="0.25">
      <c r="A1469" s="43"/>
      <c r="B1469" s="43"/>
      <c r="C1469" s="646"/>
      <c r="D1469" s="476"/>
      <c r="E1469" s="518"/>
      <c r="F1469" s="284"/>
      <c r="G1469" s="41"/>
      <c r="H1469" s="288"/>
      <c r="I1469" s="57" t="s">
        <v>710</v>
      </c>
      <c r="J1469" s="48">
        <f>SUM(J1466)</f>
        <v>180000</v>
      </c>
      <c r="K1469" s="48"/>
      <c r="L1469" s="48">
        <f>SUM(L1466)</f>
        <v>180000</v>
      </c>
    </row>
    <row r="1470" spans="1:12" ht="15" x14ac:dyDescent="0.2">
      <c r="A1470" s="43"/>
      <c r="B1470" s="43"/>
      <c r="C1470" s="646"/>
      <c r="D1470" s="476"/>
      <c r="E1470" s="518"/>
      <c r="F1470" s="284"/>
      <c r="G1470" s="41"/>
      <c r="H1470" s="285"/>
      <c r="I1470" s="24"/>
      <c r="J1470" s="198"/>
      <c r="K1470" s="198"/>
      <c r="L1470" s="301"/>
    </row>
    <row r="1471" spans="1:12" ht="15" x14ac:dyDescent="0.2">
      <c r="A1471" s="43"/>
      <c r="B1471" s="43"/>
      <c r="C1471" s="646"/>
      <c r="D1471" s="476"/>
      <c r="E1471" s="520" t="s">
        <v>251</v>
      </c>
      <c r="F1471" s="358"/>
      <c r="G1471" s="307"/>
      <c r="H1471" s="360"/>
      <c r="I1471" s="312" t="s">
        <v>814</v>
      </c>
      <c r="J1471" s="232"/>
      <c r="K1471" s="71"/>
      <c r="L1471" s="233"/>
    </row>
    <row r="1472" spans="1:12" ht="15" x14ac:dyDescent="0.2">
      <c r="A1472" s="43"/>
      <c r="B1472" s="43"/>
      <c r="C1472" s="646"/>
      <c r="D1472" s="476"/>
      <c r="E1472" s="518"/>
      <c r="F1472" s="284">
        <v>263</v>
      </c>
      <c r="G1472" s="41"/>
      <c r="H1472" s="285" t="s">
        <v>270</v>
      </c>
      <c r="I1472" s="194" t="s">
        <v>20</v>
      </c>
      <c r="J1472" s="973">
        <v>2</v>
      </c>
      <c r="K1472" s="969"/>
      <c r="L1472" s="963">
        <f>SUM(J1472:K1472)</f>
        <v>2</v>
      </c>
    </row>
    <row r="1473" spans="1:12" ht="15" x14ac:dyDescent="0.2">
      <c r="A1473" s="43"/>
      <c r="B1473" s="43"/>
      <c r="C1473" s="646"/>
      <c r="D1473" s="476"/>
      <c r="E1473" s="518"/>
      <c r="F1473" s="284"/>
      <c r="G1473" s="47" t="s">
        <v>37</v>
      </c>
      <c r="H1473" s="285"/>
      <c r="I1473" s="194" t="s">
        <v>38</v>
      </c>
      <c r="J1473" s="973">
        <f>SUM(J1475-J1474)</f>
        <v>1</v>
      </c>
      <c r="K1473" s="973"/>
      <c r="L1473" s="963">
        <f t="shared" ref="L1473:L1474" si="79">SUM(J1473:K1473)</f>
        <v>1</v>
      </c>
    </row>
    <row r="1474" spans="1:12" ht="15" x14ac:dyDescent="0.2">
      <c r="A1474" s="43"/>
      <c r="B1474" s="43"/>
      <c r="C1474" s="646"/>
      <c r="D1474" s="476"/>
      <c r="E1474" s="518"/>
      <c r="F1474" s="284"/>
      <c r="G1474" s="47" t="s">
        <v>113</v>
      </c>
      <c r="H1474" s="285"/>
      <c r="I1474" s="194" t="s">
        <v>280</v>
      </c>
      <c r="J1474" s="973">
        <v>1</v>
      </c>
      <c r="K1474" s="973"/>
      <c r="L1474" s="963">
        <f t="shared" si="79"/>
        <v>1</v>
      </c>
    </row>
    <row r="1475" spans="1:12" ht="15" x14ac:dyDescent="0.25">
      <c r="A1475" s="43"/>
      <c r="B1475" s="43"/>
      <c r="C1475" s="646"/>
      <c r="D1475" s="476"/>
      <c r="E1475" s="518"/>
      <c r="F1475" s="284"/>
      <c r="G1475" s="41"/>
      <c r="H1475" s="288"/>
      <c r="I1475" s="57" t="s">
        <v>710</v>
      </c>
      <c r="J1475" s="48">
        <f>SUM(J1472)</f>
        <v>2</v>
      </c>
      <c r="K1475" s="48"/>
      <c r="L1475" s="48">
        <f>SUM(L1472)</f>
        <v>2</v>
      </c>
    </row>
    <row r="1476" spans="1:12" ht="15" x14ac:dyDescent="0.2">
      <c r="A1476" s="43"/>
      <c r="B1476" s="43"/>
      <c r="C1476" s="646"/>
      <c r="D1476" s="476"/>
      <c r="E1476" s="518"/>
      <c r="F1476" s="284"/>
      <c r="G1476" s="41"/>
      <c r="H1476" s="285"/>
      <c r="I1476" s="24"/>
      <c r="J1476" s="198"/>
      <c r="K1476" s="198"/>
      <c r="L1476" s="301"/>
    </row>
    <row r="1477" spans="1:12" ht="22.5" x14ac:dyDescent="0.2">
      <c r="A1477" s="43"/>
      <c r="B1477" s="43"/>
      <c r="C1477" s="646"/>
      <c r="D1477" s="476"/>
      <c r="E1477" s="520" t="s">
        <v>251</v>
      </c>
      <c r="F1477" s="358"/>
      <c r="G1477" s="307"/>
      <c r="H1477" s="360"/>
      <c r="I1477" s="312" t="s">
        <v>813</v>
      </c>
      <c r="J1477" s="232"/>
      <c r="K1477" s="71"/>
      <c r="L1477" s="233"/>
    </row>
    <row r="1478" spans="1:12" ht="15" x14ac:dyDescent="0.2">
      <c r="A1478" s="43"/>
      <c r="B1478" s="43"/>
      <c r="C1478" s="646"/>
      <c r="D1478" s="476"/>
      <c r="E1478" s="521"/>
      <c r="F1478" s="792" t="s">
        <v>970</v>
      </c>
      <c r="G1478" s="793"/>
      <c r="H1478" s="794" t="s">
        <v>46</v>
      </c>
      <c r="I1478" s="807" t="s">
        <v>10</v>
      </c>
      <c r="J1478" s="808">
        <v>200000</v>
      </c>
      <c r="K1478" s="809"/>
      <c r="L1478" s="797">
        <f>SUM(J1478:K1478)</f>
        <v>200000</v>
      </c>
    </row>
    <row r="1479" spans="1:12" ht="15" x14ac:dyDescent="0.2">
      <c r="A1479" s="43"/>
      <c r="B1479" s="43"/>
      <c r="C1479" s="646"/>
      <c r="D1479" s="476"/>
      <c r="E1479" s="518"/>
      <c r="F1479" s="284">
        <v>264</v>
      </c>
      <c r="G1479" s="41"/>
      <c r="H1479" s="285" t="s">
        <v>270</v>
      </c>
      <c r="I1479" s="194" t="s">
        <v>20</v>
      </c>
      <c r="J1479" s="56">
        <v>3840000</v>
      </c>
      <c r="K1479" s="52"/>
      <c r="L1479" s="51">
        <f>SUM(J1479:K1479)</f>
        <v>3840000</v>
      </c>
    </row>
    <row r="1480" spans="1:12" ht="15" x14ac:dyDescent="0.2">
      <c r="A1480" s="43"/>
      <c r="B1480" s="43"/>
      <c r="C1480" s="646"/>
      <c r="D1480" s="476"/>
      <c r="E1480" s="518"/>
      <c r="F1480" s="284"/>
      <c r="G1480" s="47" t="s">
        <v>37</v>
      </c>
      <c r="H1480" s="285"/>
      <c r="I1480" s="194" t="s">
        <v>38</v>
      </c>
      <c r="J1480" s="56">
        <f>SUM(J1478:J1479)</f>
        <v>4040000</v>
      </c>
      <c r="K1480" s="56"/>
      <c r="L1480" s="51">
        <f t="shared" ref="L1480" si="80">SUM(J1480:K1480)</f>
        <v>4040000</v>
      </c>
    </row>
    <row r="1481" spans="1:12" ht="15" x14ac:dyDescent="0.25">
      <c r="A1481" s="43"/>
      <c r="B1481" s="43"/>
      <c r="C1481" s="646"/>
      <c r="D1481" s="476"/>
      <c r="E1481" s="518"/>
      <c r="F1481" s="284"/>
      <c r="G1481" s="41"/>
      <c r="H1481" s="288"/>
      <c r="I1481" s="57" t="s">
        <v>710</v>
      </c>
      <c r="J1481" s="48">
        <f>SUM(J1478:J1479)</f>
        <v>4040000</v>
      </c>
      <c r="K1481" s="48"/>
      <c r="L1481" s="48">
        <f>SUM(J1481:K1481)</f>
        <v>4040000</v>
      </c>
    </row>
    <row r="1482" spans="1:12" ht="15" x14ac:dyDescent="0.2">
      <c r="A1482" s="43"/>
      <c r="B1482" s="43"/>
      <c r="C1482" s="646"/>
      <c r="D1482" s="476"/>
      <c r="E1482" s="518"/>
      <c r="F1482" s="284"/>
      <c r="G1482" s="41"/>
      <c r="H1482" s="285"/>
      <c r="I1482" s="24"/>
      <c r="J1482" s="198"/>
      <c r="K1482" s="198"/>
      <c r="L1482" s="301"/>
    </row>
    <row r="1483" spans="1:12" ht="33.75" x14ac:dyDescent="0.2">
      <c r="A1483" s="43"/>
      <c r="B1483" s="43"/>
      <c r="C1483" s="646"/>
      <c r="D1483" s="476"/>
      <c r="E1483" s="520" t="s">
        <v>251</v>
      </c>
      <c r="F1483" s="358"/>
      <c r="G1483" s="307"/>
      <c r="H1483" s="360"/>
      <c r="I1483" s="312" t="s">
        <v>812</v>
      </c>
      <c r="J1483" s="232"/>
      <c r="K1483" s="71"/>
      <c r="L1483" s="233"/>
    </row>
    <row r="1484" spans="1:12" ht="15" x14ac:dyDescent="0.2">
      <c r="A1484" s="43"/>
      <c r="B1484" s="43"/>
      <c r="C1484" s="646"/>
      <c r="D1484" s="476"/>
      <c r="E1484" s="518"/>
      <c r="F1484" s="284">
        <v>265</v>
      </c>
      <c r="G1484" s="41"/>
      <c r="H1484" s="285" t="s">
        <v>270</v>
      </c>
      <c r="I1484" s="194" t="s">
        <v>20</v>
      </c>
      <c r="J1484" s="973">
        <v>1</v>
      </c>
      <c r="K1484" s="969"/>
      <c r="L1484" s="963">
        <f>SUM(J1484:K1484)</f>
        <v>1</v>
      </c>
    </row>
    <row r="1485" spans="1:12" ht="15" x14ac:dyDescent="0.2">
      <c r="A1485" s="43"/>
      <c r="B1485" s="43"/>
      <c r="C1485" s="646"/>
      <c r="D1485" s="476"/>
      <c r="E1485" s="518"/>
      <c r="F1485" s="284"/>
      <c r="G1485" s="47" t="s">
        <v>37</v>
      </c>
      <c r="H1485" s="285"/>
      <c r="I1485" s="194" t="s">
        <v>38</v>
      </c>
      <c r="J1485" s="973">
        <f>SUM(J1484)</f>
        <v>1</v>
      </c>
      <c r="K1485" s="973"/>
      <c r="L1485" s="963">
        <f t="shared" ref="L1485" si="81">SUM(J1485:K1485)</f>
        <v>1</v>
      </c>
    </row>
    <row r="1486" spans="1:12" ht="15" x14ac:dyDescent="0.25">
      <c r="A1486" s="43"/>
      <c r="B1486" s="43"/>
      <c r="C1486" s="646"/>
      <c r="D1486" s="476"/>
      <c r="E1486" s="518"/>
      <c r="F1486" s="284"/>
      <c r="G1486" s="41"/>
      <c r="H1486" s="288"/>
      <c r="I1486" s="57" t="s">
        <v>710</v>
      </c>
      <c r="J1486" s="978">
        <f>SUM(J1484)</f>
        <v>1</v>
      </c>
      <c r="K1486" s="978"/>
      <c r="L1486" s="978">
        <f>SUM(L1484)</f>
        <v>1</v>
      </c>
    </row>
    <row r="1487" spans="1:12" ht="15" x14ac:dyDescent="0.2">
      <c r="A1487" s="43"/>
      <c r="B1487" s="43"/>
      <c r="C1487" s="646"/>
      <c r="D1487" s="476"/>
      <c r="E1487" s="518"/>
      <c r="F1487" s="284"/>
      <c r="G1487" s="41"/>
      <c r="H1487" s="285"/>
      <c r="I1487" s="24"/>
      <c r="J1487" s="198"/>
      <c r="K1487" s="198"/>
      <c r="L1487" s="301"/>
    </row>
    <row r="1488" spans="1:12" ht="22.5" x14ac:dyDescent="0.2">
      <c r="A1488" s="43"/>
      <c r="B1488" s="43"/>
      <c r="C1488" s="646"/>
      <c r="D1488" s="476"/>
      <c r="E1488" s="520" t="s">
        <v>251</v>
      </c>
      <c r="F1488" s="358"/>
      <c r="G1488" s="307"/>
      <c r="H1488" s="360"/>
      <c r="I1488" s="312" t="s">
        <v>935</v>
      </c>
      <c r="J1488" s="232"/>
      <c r="K1488" s="71"/>
      <c r="L1488" s="233"/>
    </row>
    <row r="1489" spans="1:16" ht="15" x14ac:dyDescent="0.2">
      <c r="A1489" s="43"/>
      <c r="B1489" s="43"/>
      <c r="C1489" s="646"/>
      <c r="D1489" s="476"/>
      <c r="E1489" s="518"/>
      <c r="F1489" s="284">
        <v>266</v>
      </c>
      <c r="G1489" s="41"/>
      <c r="H1489" s="285" t="s">
        <v>270</v>
      </c>
      <c r="I1489" s="194" t="s">
        <v>20</v>
      </c>
      <c r="J1489" s="56">
        <v>500000</v>
      </c>
      <c r="K1489" s="52"/>
      <c r="L1489" s="51">
        <f>SUM(J1489:K1489)</f>
        <v>500000</v>
      </c>
    </row>
    <row r="1490" spans="1:16" ht="15" x14ac:dyDescent="0.2">
      <c r="A1490" s="43"/>
      <c r="B1490" s="43"/>
      <c r="C1490" s="646"/>
      <c r="D1490" s="476"/>
      <c r="E1490" s="518"/>
      <c r="F1490" s="284"/>
      <c r="G1490" s="47" t="s">
        <v>37</v>
      </c>
      <c r="H1490" s="285"/>
      <c r="I1490" s="194" t="s">
        <v>38</v>
      </c>
      <c r="J1490" s="56">
        <f>SUM(J1489)</f>
        <v>500000</v>
      </c>
      <c r="K1490" s="56"/>
      <c r="L1490" s="51">
        <f t="shared" ref="L1490" si="82">SUM(J1490:K1490)</f>
        <v>500000</v>
      </c>
    </row>
    <row r="1491" spans="1:16" ht="15" x14ac:dyDescent="0.25">
      <c r="A1491" s="43"/>
      <c r="B1491" s="43"/>
      <c r="C1491" s="646"/>
      <c r="D1491" s="476"/>
      <c r="E1491" s="518"/>
      <c r="F1491" s="284"/>
      <c r="G1491" s="41"/>
      <c r="H1491" s="288"/>
      <c r="I1491" s="57" t="s">
        <v>710</v>
      </c>
      <c r="J1491" s="48">
        <f>SUM(J1489)</f>
        <v>500000</v>
      </c>
      <c r="K1491" s="48"/>
      <c r="L1491" s="48">
        <f>SUM(L1489)</f>
        <v>500000</v>
      </c>
    </row>
    <row r="1492" spans="1:16" ht="15" x14ac:dyDescent="0.2">
      <c r="A1492" s="43"/>
      <c r="B1492" s="43"/>
      <c r="C1492" s="646"/>
      <c r="D1492" s="476"/>
      <c r="E1492" s="518"/>
      <c r="F1492" s="284"/>
      <c r="G1492" s="41"/>
      <c r="H1492" s="285"/>
      <c r="I1492" s="24"/>
      <c r="J1492" s="198"/>
      <c r="K1492" s="198"/>
      <c r="L1492" s="301"/>
    </row>
    <row r="1493" spans="1:16" ht="22.5" x14ac:dyDescent="0.2">
      <c r="A1493" s="43"/>
      <c r="B1493" s="43"/>
      <c r="C1493" s="646"/>
      <c r="D1493" s="476"/>
      <c r="E1493" s="520" t="s">
        <v>251</v>
      </c>
      <c r="F1493" s="358"/>
      <c r="G1493" s="307"/>
      <c r="H1493" s="360"/>
      <c r="I1493" s="312" t="s">
        <v>715</v>
      </c>
      <c r="J1493" s="232"/>
      <c r="K1493" s="71"/>
      <c r="L1493" s="233"/>
    </row>
    <row r="1494" spans="1:16" ht="15" x14ac:dyDescent="0.2">
      <c r="A1494" s="43"/>
      <c r="B1494" s="43"/>
      <c r="C1494" s="646"/>
      <c r="D1494" s="476"/>
      <c r="E1494" s="518"/>
      <c r="F1494" s="284">
        <v>267</v>
      </c>
      <c r="G1494" s="41"/>
      <c r="H1494" s="285" t="s">
        <v>270</v>
      </c>
      <c r="I1494" s="194" t="s">
        <v>20</v>
      </c>
      <c r="J1494" s="56">
        <v>1000</v>
      </c>
      <c r="K1494" s="52"/>
      <c r="L1494" s="51">
        <f>SUM(J1494:K1494)</f>
        <v>1000</v>
      </c>
    </row>
    <row r="1495" spans="1:16" ht="15" x14ac:dyDescent="0.2">
      <c r="A1495" s="43"/>
      <c r="B1495" s="43"/>
      <c r="C1495" s="646"/>
      <c r="D1495" s="476"/>
      <c r="E1495" s="518"/>
      <c r="F1495" s="284"/>
      <c r="G1495" s="47" t="s">
        <v>37</v>
      </c>
      <c r="H1495" s="285"/>
      <c r="I1495" s="194" t="s">
        <v>38</v>
      </c>
      <c r="J1495" s="56">
        <f>SUM(J1494)</f>
        <v>1000</v>
      </c>
      <c r="K1495" s="56"/>
      <c r="L1495" s="51">
        <f t="shared" ref="L1495" si="83">SUM(J1495:K1495)</f>
        <v>1000</v>
      </c>
    </row>
    <row r="1496" spans="1:16" ht="15" x14ac:dyDescent="0.25">
      <c r="A1496" s="43"/>
      <c r="B1496" s="43"/>
      <c r="C1496" s="646"/>
      <c r="D1496" s="476"/>
      <c r="E1496" s="518"/>
      <c r="F1496" s="284"/>
      <c r="G1496" s="41"/>
      <c r="H1496" s="288"/>
      <c r="I1496" s="57" t="s">
        <v>710</v>
      </c>
      <c r="J1496" s="48">
        <f>SUM(J1494)</f>
        <v>1000</v>
      </c>
      <c r="K1496" s="48"/>
      <c r="L1496" s="48">
        <f>SUM(L1494)</f>
        <v>1000</v>
      </c>
    </row>
    <row r="1497" spans="1:16" ht="15" x14ac:dyDescent="0.2">
      <c r="A1497" s="43"/>
      <c r="B1497" s="43"/>
      <c r="C1497" s="646"/>
      <c r="D1497" s="476"/>
      <c r="E1497" s="518"/>
      <c r="F1497" s="284"/>
      <c r="G1497" s="41"/>
      <c r="H1497" s="285"/>
      <c r="I1497" s="24"/>
      <c r="J1497" s="198"/>
      <c r="K1497" s="198"/>
      <c r="L1497" s="301"/>
    </row>
    <row r="1498" spans="1:16" ht="22.5" x14ac:dyDescent="0.2">
      <c r="A1498" s="43"/>
      <c r="B1498" s="43"/>
      <c r="C1498" s="646"/>
      <c r="D1498" s="476"/>
      <c r="E1498" s="520" t="s">
        <v>251</v>
      </c>
      <c r="F1498" s="358"/>
      <c r="G1498" s="307"/>
      <c r="H1498" s="360"/>
      <c r="I1498" s="312" t="s">
        <v>811</v>
      </c>
      <c r="J1498" s="232"/>
      <c r="K1498" s="71"/>
      <c r="L1498" s="233"/>
    </row>
    <row r="1499" spans="1:16" ht="15" x14ac:dyDescent="0.2">
      <c r="A1499" s="43"/>
      <c r="B1499" s="43"/>
      <c r="C1499" s="646"/>
      <c r="D1499" s="476"/>
      <c r="E1499" s="518"/>
      <c r="F1499" s="284">
        <v>268</v>
      </c>
      <c r="G1499" s="41"/>
      <c r="H1499" s="285" t="s">
        <v>270</v>
      </c>
      <c r="I1499" s="194" t="s">
        <v>20</v>
      </c>
      <c r="J1499" s="973">
        <v>1</v>
      </c>
      <c r="K1499" s="969"/>
      <c r="L1499" s="963">
        <f>SUM(J1499:K1499)</f>
        <v>1</v>
      </c>
    </row>
    <row r="1500" spans="1:16" ht="15" x14ac:dyDescent="0.2">
      <c r="A1500" s="43"/>
      <c r="B1500" s="43"/>
      <c r="C1500" s="646"/>
      <c r="D1500" s="476"/>
      <c r="E1500" s="518"/>
      <c r="F1500" s="284"/>
      <c r="G1500" s="47" t="s">
        <v>37</v>
      </c>
      <c r="H1500" s="285"/>
      <c r="I1500" s="194" t="s">
        <v>38</v>
      </c>
      <c r="J1500" s="973">
        <f>SUM(J1499)</f>
        <v>1</v>
      </c>
      <c r="K1500" s="973"/>
      <c r="L1500" s="963">
        <f t="shared" ref="L1500" si="84">SUM(J1500:K1500)</f>
        <v>1</v>
      </c>
    </row>
    <row r="1501" spans="1:16" ht="15" x14ac:dyDescent="0.2">
      <c r="A1501" s="43"/>
      <c r="B1501" s="43"/>
      <c r="C1501" s="646"/>
      <c r="D1501" s="476"/>
      <c r="E1501" s="518"/>
      <c r="F1501" s="284"/>
      <c r="G1501" s="41"/>
      <c r="H1501" s="285"/>
      <c r="I1501" s="57" t="s">
        <v>710</v>
      </c>
      <c r="J1501" s="978">
        <f>SUM(J1499)</f>
        <v>1</v>
      </c>
      <c r="K1501" s="978"/>
      <c r="L1501" s="978">
        <f>SUM(L1499)</f>
        <v>1</v>
      </c>
    </row>
    <row r="1502" spans="1:16" s="165" customFormat="1" ht="15" x14ac:dyDescent="0.25">
      <c r="A1502" s="583"/>
      <c r="B1502" s="468"/>
      <c r="C1502" s="472"/>
      <c r="D1502" s="468"/>
      <c r="E1502" s="524"/>
      <c r="F1502" s="284"/>
      <c r="G1502" s="294"/>
      <c r="H1502" s="284"/>
      <c r="I1502" s="665"/>
      <c r="J1502" s="27"/>
      <c r="K1502" s="28"/>
      <c r="L1502" s="53"/>
      <c r="M1502" s="992"/>
      <c r="N1502" s="834"/>
      <c r="O1502" s="163"/>
      <c r="P1502" s="832"/>
    </row>
    <row r="1503" spans="1:16" s="165" customFormat="1" ht="15" x14ac:dyDescent="0.25">
      <c r="A1503" s="476"/>
      <c r="B1503" s="468"/>
      <c r="C1503" s="472"/>
      <c r="D1503" s="468"/>
      <c r="E1503" s="522"/>
      <c r="F1503" s="404"/>
      <c r="G1503" s="302"/>
      <c r="H1503" s="404"/>
      <c r="I1503" s="363" t="s">
        <v>237</v>
      </c>
      <c r="J1503" s="364"/>
      <c r="K1503" s="364"/>
      <c r="L1503" s="382"/>
      <c r="M1503" s="992"/>
      <c r="N1503" s="834"/>
      <c r="O1503" s="163"/>
      <c r="P1503" s="832"/>
    </row>
    <row r="1504" spans="1:16" x14ac:dyDescent="0.2">
      <c r="A1504" s="476"/>
      <c r="B1504" s="43"/>
      <c r="D1504" s="43"/>
      <c r="E1504" s="519" t="s">
        <v>252</v>
      </c>
      <c r="F1504" s="404"/>
      <c r="G1504" s="302"/>
      <c r="H1504" s="422"/>
      <c r="I1504" s="365" t="s">
        <v>636</v>
      </c>
      <c r="J1504" s="366"/>
      <c r="K1504" s="366"/>
      <c r="L1504" s="369"/>
    </row>
    <row r="1505" spans="1:12" x14ac:dyDescent="0.2">
      <c r="A1505" s="43"/>
      <c r="B1505" s="583"/>
      <c r="C1505" s="583"/>
      <c r="D1505" s="583"/>
      <c r="E1505" s="563"/>
      <c r="F1505" s="284"/>
      <c r="G1505" s="294"/>
      <c r="H1505" s="285"/>
      <c r="I1505" s="239"/>
      <c r="J1505" s="28"/>
      <c r="K1505" s="28"/>
      <c r="L1505" s="68"/>
    </row>
    <row r="1506" spans="1:12" ht="15" x14ac:dyDescent="0.25">
      <c r="A1506" s="476"/>
      <c r="B1506" s="43"/>
      <c r="C1506" s="43">
        <v>620</v>
      </c>
      <c r="D1506" s="43"/>
      <c r="E1506" s="518"/>
      <c r="F1506" s="284"/>
      <c r="G1506" s="41"/>
      <c r="H1506" s="288"/>
      <c r="I1506" s="260" t="s">
        <v>105</v>
      </c>
      <c r="J1506" s="67"/>
      <c r="K1506" s="67"/>
      <c r="L1506" s="49"/>
    </row>
    <row r="1507" spans="1:12" x14ac:dyDescent="0.2">
      <c r="A1507" s="476"/>
      <c r="B1507" s="43"/>
      <c r="D1507" s="476"/>
      <c r="E1507" s="518"/>
      <c r="F1507" s="284"/>
      <c r="G1507" s="41"/>
      <c r="H1507" s="432"/>
      <c r="I1507" s="206"/>
      <c r="J1507" s="28"/>
      <c r="K1507" s="28"/>
      <c r="L1507" s="53"/>
    </row>
    <row r="1508" spans="1:12" x14ac:dyDescent="0.2">
      <c r="A1508" s="334"/>
      <c r="B1508" s="401"/>
      <c r="C1508" s="401"/>
      <c r="D1508" s="550"/>
      <c r="E1508" s="521"/>
      <c r="F1508" s="284">
        <v>269</v>
      </c>
      <c r="G1508" s="41"/>
      <c r="H1508" s="284">
        <v>424</v>
      </c>
      <c r="I1508" s="194" t="s">
        <v>223</v>
      </c>
      <c r="J1508" s="51">
        <v>10000000</v>
      </c>
      <c r="K1508" s="51"/>
      <c r="L1508" s="51">
        <f>SUM(J1508+K1508)</f>
        <v>10000000</v>
      </c>
    </row>
    <row r="1509" spans="1:12" x14ac:dyDescent="0.2">
      <c r="A1509" s="476"/>
      <c r="B1509" s="43"/>
      <c r="D1509" s="476"/>
      <c r="E1509" s="518"/>
      <c r="F1509" s="284"/>
      <c r="G1509" s="41"/>
      <c r="H1509" s="666"/>
      <c r="I1509" s="202" t="s">
        <v>610</v>
      </c>
      <c r="J1509" s="52">
        <f>SUM(J1508)</f>
        <v>10000000</v>
      </c>
      <c r="K1509" s="52"/>
      <c r="L1509" s="52">
        <f t="shared" ref="L1509" si="85">SUM(L1508)</f>
        <v>10000000</v>
      </c>
    </row>
    <row r="1510" spans="1:12" ht="15" x14ac:dyDescent="0.2">
      <c r="A1510" s="667" t="s">
        <v>217</v>
      </c>
      <c r="B1510" s="667"/>
      <c r="C1510" s="463"/>
      <c r="D1510" s="463"/>
      <c r="E1510" s="523"/>
      <c r="F1510" s="406"/>
      <c r="G1510" s="47" t="s">
        <v>37</v>
      </c>
      <c r="H1510" s="668"/>
      <c r="I1510" s="194" t="s">
        <v>38</v>
      </c>
      <c r="J1510" s="51">
        <f>SUM(J1509)</f>
        <v>10000000</v>
      </c>
      <c r="K1510" s="51"/>
      <c r="L1510" s="51">
        <f>SUM(J1510+K1510)</f>
        <v>10000000</v>
      </c>
    </row>
    <row r="1511" spans="1:12" ht="15" x14ac:dyDescent="0.2">
      <c r="A1511" s="669"/>
      <c r="B1511" s="669"/>
      <c r="C1511" s="463"/>
      <c r="D1511" s="463"/>
      <c r="E1511" s="523"/>
      <c r="F1511" s="284"/>
      <c r="G1511" s="203"/>
      <c r="H1511" s="437"/>
      <c r="I1511" s="236"/>
      <c r="J1511" s="167"/>
      <c r="K1511" s="167"/>
      <c r="L1511" s="300"/>
    </row>
    <row r="1512" spans="1:12" ht="15" x14ac:dyDescent="0.2">
      <c r="A1512" s="667"/>
      <c r="B1512" s="667"/>
      <c r="C1512" s="463"/>
      <c r="D1512" s="463"/>
      <c r="E1512" s="522"/>
      <c r="F1512" s="745"/>
      <c r="G1512" s="302"/>
      <c r="H1512" s="670"/>
      <c r="I1512" s="363" t="s">
        <v>412</v>
      </c>
      <c r="J1512" s="656"/>
      <c r="K1512" s="656"/>
      <c r="L1512" s="610"/>
    </row>
    <row r="1513" spans="1:12" ht="15" x14ac:dyDescent="0.2">
      <c r="A1513" s="667"/>
      <c r="B1513" s="667"/>
      <c r="C1513" s="671"/>
      <c r="D1513" s="672"/>
      <c r="E1513" s="673" t="s">
        <v>501</v>
      </c>
      <c r="F1513" s="745"/>
      <c r="G1513" s="674"/>
      <c r="H1513" s="422"/>
      <c r="I1513" s="675" t="s">
        <v>464</v>
      </c>
      <c r="J1513" s="676"/>
      <c r="K1513" s="676"/>
      <c r="L1513" s="677"/>
    </row>
    <row r="1514" spans="1:12" ht="15" x14ac:dyDescent="0.2">
      <c r="A1514" s="667"/>
      <c r="B1514" s="667"/>
      <c r="C1514" s="678"/>
      <c r="D1514" s="679"/>
      <c r="E1514" s="680"/>
      <c r="F1514" s="408"/>
      <c r="G1514" s="681"/>
      <c r="H1514" s="437"/>
      <c r="I1514" s="682"/>
      <c r="J1514" s="683"/>
      <c r="K1514" s="683"/>
      <c r="L1514" s="684"/>
    </row>
    <row r="1515" spans="1:12" ht="15" x14ac:dyDescent="0.2">
      <c r="A1515" s="667"/>
      <c r="B1515" s="667"/>
      <c r="C1515" s="685">
        <v>620</v>
      </c>
      <c r="D1515" s="686"/>
      <c r="E1515" s="687"/>
      <c r="F1515" s="408"/>
      <c r="G1515" s="296"/>
      <c r="H1515" s="286"/>
      <c r="I1515" s="688" t="s">
        <v>105</v>
      </c>
      <c r="J1515" s="689"/>
      <c r="K1515" s="689"/>
      <c r="L1515" s="690"/>
    </row>
    <row r="1516" spans="1:12" x14ac:dyDescent="0.2">
      <c r="A1516" s="476"/>
      <c r="B1516" s="43"/>
      <c r="D1516" s="476"/>
      <c r="E1516" s="518"/>
      <c r="F1516" s="408"/>
      <c r="G1516" s="296"/>
      <c r="H1516" s="584"/>
      <c r="I1516" s="691"/>
      <c r="J1516" s="692"/>
      <c r="K1516" s="692"/>
      <c r="L1516" s="693"/>
    </row>
    <row r="1517" spans="1:12" x14ac:dyDescent="0.2">
      <c r="A1517" s="476"/>
      <c r="B1517" s="43"/>
      <c r="D1517" s="476"/>
      <c r="E1517" s="518"/>
      <c r="F1517" s="408">
        <v>270</v>
      </c>
      <c r="G1517" s="168"/>
      <c r="H1517" s="438" t="s">
        <v>415</v>
      </c>
      <c r="I1517" s="275" t="s">
        <v>416</v>
      </c>
      <c r="J1517" s="195">
        <v>144000000</v>
      </c>
      <c r="K1517" s="195"/>
      <c r="L1517" s="195">
        <f>SUM(J1517+K1517)</f>
        <v>144000000</v>
      </c>
    </row>
    <row r="1518" spans="1:12" x14ac:dyDescent="0.2">
      <c r="A1518" s="476"/>
      <c r="B1518" s="43"/>
      <c r="D1518" s="476"/>
      <c r="E1518" s="518"/>
      <c r="F1518" s="284"/>
      <c r="G1518" s="296"/>
      <c r="H1518" s="286"/>
      <c r="I1518" s="276" t="s">
        <v>587</v>
      </c>
      <c r="J1518" s="226">
        <f>SUM(J1517)</f>
        <v>144000000</v>
      </c>
      <c r="K1518" s="226"/>
      <c r="L1518" s="226">
        <f t="shared" ref="L1518" si="86">SUM(L1517)</f>
        <v>144000000</v>
      </c>
    </row>
    <row r="1519" spans="1:12" x14ac:dyDescent="0.2">
      <c r="A1519" s="476"/>
      <c r="B1519" s="43"/>
      <c r="C1519" s="463"/>
      <c r="D1519" s="463"/>
      <c r="E1519" s="523"/>
      <c r="F1519" s="284"/>
      <c r="G1519" s="47" t="s">
        <v>37</v>
      </c>
      <c r="H1519" s="433"/>
      <c r="I1519" s="244" t="s">
        <v>38</v>
      </c>
      <c r="J1519" s="107">
        <f>SUM(J1518)</f>
        <v>144000000</v>
      </c>
      <c r="K1519" s="107"/>
      <c r="L1519" s="107">
        <f>SUM(J1519+K1519)</f>
        <v>144000000</v>
      </c>
    </row>
    <row r="1520" spans="1:12" x14ac:dyDescent="0.2">
      <c r="A1520" s="582"/>
      <c r="B1520" s="583"/>
      <c r="C1520" s="463"/>
      <c r="D1520" s="463"/>
      <c r="E1520" s="523"/>
      <c r="F1520" s="284"/>
      <c r="G1520" s="294"/>
      <c r="H1520" s="285"/>
      <c r="I1520" s="665"/>
      <c r="J1520" s="27"/>
      <c r="K1520" s="27"/>
      <c r="L1520" s="53"/>
    </row>
    <row r="1521" spans="1:16" x14ac:dyDescent="0.2">
      <c r="A1521" s="476"/>
      <c r="B1521" s="43"/>
      <c r="D1521" s="476"/>
      <c r="E1521" s="522"/>
      <c r="F1521" s="404"/>
      <c r="G1521" s="302"/>
      <c r="H1521" s="419"/>
      <c r="I1521" s="363" t="s">
        <v>237</v>
      </c>
      <c r="J1521" s="455"/>
      <c r="K1521" s="364"/>
      <c r="L1521" s="304"/>
    </row>
    <row r="1522" spans="1:16" ht="15" x14ac:dyDescent="0.25">
      <c r="A1522" s="476"/>
      <c r="B1522" s="43"/>
      <c r="C1522" s="583"/>
      <c r="D1522" s="582"/>
      <c r="E1522" s="519" t="s">
        <v>252</v>
      </c>
      <c r="F1522" s="404"/>
      <c r="G1522" s="302"/>
      <c r="H1522" s="434"/>
      <c r="I1522" s="365" t="s">
        <v>636</v>
      </c>
      <c r="J1522" s="447"/>
      <c r="K1522" s="366"/>
      <c r="L1522" s="367"/>
    </row>
    <row r="1523" spans="1:16" ht="15" x14ac:dyDescent="0.25">
      <c r="A1523" s="476"/>
      <c r="B1523" s="43"/>
      <c r="D1523" s="43"/>
      <c r="E1523" s="518"/>
      <c r="F1523" s="284"/>
      <c r="G1523" s="294"/>
      <c r="H1523" s="288"/>
      <c r="I1523" s="239"/>
      <c r="J1523" s="27"/>
      <c r="K1523" s="28"/>
      <c r="L1523" s="53"/>
    </row>
    <row r="1524" spans="1:16" ht="15" x14ac:dyDescent="0.25">
      <c r="A1524" s="476"/>
      <c r="B1524" s="43"/>
      <c r="C1524" s="43">
        <v>360</v>
      </c>
      <c r="D1524" s="43"/>
      <c r="E1524" s="518"/>
      <c r="F1524" s="284"/>
      <c r="G1524" s="41"/>
      <c r="H1524" s="288"/>
      <c r="I1524" s="211" t="s">
        <v>155</v>
      </c>
      <c r="J1524" s="299"/>
      <c r="K1524" s="67"/>
      <c r="L1524" s="49"/>
    </row>
    <row r="1525" spans="1:16" ht="15" x14ac:dyDescent="0.25">
      <c r="A1525" s="476"/>
      <c r="B1525" s="43"/>
      <c r="C1525" s="463"/>
      <c r="D1525" s="463"/>
      <c r="E1525" s="523"/>
      <c r="F1525" s="284"/>
      <c r="G1525" s="41"/>
      <c r="H1525" s="288"/>
      <c r="I1525" s="24"/>
      <c r="J1525" s="27"/>
      <c r="K1525" s="28"/>
      <c r="L1525" s="53"/>
    </row>
    <row r="1526" spans="1:16" x14ac:dyDescent="0.2">
      <c r="A1526" s="476"/>
      <c r="B1526" s="43"/>
      <c r="D1526" s="476"/>
      <c r="E1526" s="518"/>
      <c r="F1526" s="284">
        <v>271</v>
      </c>
      <c r="G1526" s="41"/>
      <c r="H1526" s="285" t="s">
        <v>46</v>
      </c>
      <c r="I1526" s="194" t="s">
        <v>10</v>
      </c>
      <c r="J1526" s="51">
        <v>3081823</v>
      </c>
      <c r="K1526" s="51"/>
      <c r="L1526" s="51">
        <f>SUM(J1526:K1526)</f>
        <v>3081823</v>
      </c>
    </row>
    <row r="1527" spans="1:16" x14ac:dyDescent="0.2">
      <c r="A1527" s="476"/>
      <c r="B1527" s="43"/>
      <c r="D1527" s="476"/>
      <c r="E1527" s="518"/>
      <c r="F1527" s="284">
        <v>272</v>
      </c>
      <c r="G1527" s="41"/>
      <c r="H1527" s="285" t="s">
        <v>269</v>
      </c>
      <c r="I1527" s="194" t="s">
        <v>35</v>
      </c>
      <c r="J1527" s="51">
        <v>900000</v>
      </c>
      <c r="K1527" s="51"/>
      <c r="L1527" s="51">
        <f t="shared" ref="L1527:L1528" si="87">SUM(J1527:K1527)</f>
        <v>900000</v>
      </c>
    </row>
    <row r="1528" spans="1:16" x14ac:dyDescent="0.2">
      <c r="A1528" s="550"/>
      <c r="B1528" s="401"/>
      <c r="C1528" s="401"/>
      <c r="D1528" s="550"/>
      <c r="E1528" s="521"/>
      <c r="F1528" s="284">
        <v>273</v>
      </c>
      <c r="G1528" s="41"/>
      <c r="H1528" s="285" t="s">
        <v>570</v>
      </c>
      <c r="I1528" s="243" t="s">
        <v>21</v>
      </c>
      <c r="J1528" s="51">
        <v>10300000</v>
      </c>
      <c r="K1528" s="51"/>
      <c r="L1528" s="51">
        <f t="shared" si="87"/>
        <v>10300000</v>
      </c>
    </row>
    <row r="1529" spans="1:16" s="165" customFormat="1" ht="15" x14ac:dyDescent="0.2">
      <c r="A1529" s="476"/>
      <c r="B1529" s="401"/>
      <c r="C1529" s="403"/>
      <c r="D1529" s="44"/>
      <c r="E1529" s="524"/>
      <c r="F1529" s="284"/>
      <c r="G1529" s="41"/>
      <c r="H1529" s="432"/>
      <c r="I1529" s="202" t="s">
        <v>610</v>
      </c>
      <c r="J1529" s="52">
        <f>SUM(J1526:J1528)</f>
        <v>14281823</v>
      </c>
      <c r="K1529" s="52"/>
      <c r="L1529" s="52">
        <f>SUM(J1529:K1529)</f>
        <v>14281823</v>
      </c>
      <c r="M1529" s="992"/>
      <c r="N1529" s="834"/>
      <c r="O1529" s="163"/>
      <c r="P1529" s="832"/>
    </row>
    <row r="1530" spans="1:16" s="165" customFormat="1" ht="15" x14ac:dyDescent="0.25">
      <c r="A1530" s="476"/>
      <c r="B1530" s="401"/>
      <c r="C1530" s="403"/>
      <c r="D1530" s="44"/>
      <c r="E1530" s="518"/>
      <c r="F1530" s="406"/>
      <c r="G1530" s="47" t="s">
        <v>37</v>
      </c>
      <c r="H1530" s="287"/>
      <c r="I1530" s="194" t="s">
        <v>38</v>
      </c>
      <c r="J1530" s="51">
        <f>SUM(J1529)</f>
        <v>14281823</v>
      </c>
      <c r="K1530" s="51"/>
      <c r="L1530" s="51">
        <f>SUM(J1529:K1529)</f>
        <v>14281823</v>
      </c>
      <c r="M1530" s="909"/>
      <c r="N1530" s="834"/>
      <c r="O1530" s="163"/>
      <c r="P1530" s="832"/>
    </row>
    <row r="1531" spans="1:16" ht="15" x14ac:dyDescent="0.25">
      <c r="A1531" s="476"/>
      <c r="B1531" s="401"/>
      <c r="C1531" s="403"/>
      <c r="E1531" s="518"/>
      <c r="F1531" s="406"/>
      <c r="G1531" s="203"/>
      <c r="H1531" s="288"/>
      <c r="I1531" s="236"/>
      <c r="J1531" s="27"/>
      <c r="K1531" s="167"/>
      <c r="L1531" s="300"/>
    </row>
    <row r="1532" spans="1:16" ht="15" x14ac:dyDescent="0.25">
      <c r="A1532" s="476"/>
      <c r="B1532" s="401"/>
      <c r="C1532" s="403"/>
      <c r="E1532" s="520" t="s">
        <v>251</v>
      </c>
      <c r="F1532" s="358"/>
      <c r="G1532" s="307"/>
      <c r="H1532" s="431"/>
      <c r="I1532" s="694" t="s">
        <v>810</v>
      </c>
      <c r="J1532" s="67"/>
      <c r="K1532" s="329"/>
      <c r="L1532" s="330"/>
    </row>
    <row r="1533" spans="1:16" ht="15" x14ac:dyDescent="0.25">
      <c r="A1533" s="476"/>
      <c r="B1533" s="43"/>
      <c r="C1533" s="403"/>
      <c r="D1533" s="43"/>
      <c r="E1533" s="518"/>
      <c r="F1533" s="406"/>
      <c r="G1533" s="203"/>
      <c r="H1533" s="288"/>
      <c r="I1533" s="17"/>
      <c r="J1533" s="28"/>
      <c r="K1533" s="223"/>
      <c r="L1533" s="224"/>
    </row>
    <row r="1534" spans="1:16" ht="15" x14ac:dyDescent="0.2">
      <c r="A1534" s="476"/>
      <c r="B1534" s="43"/>
      <c r="C1534" s="403"/>
      <c r="D1534" s="43"/>
      <c r="E1534" s="518"/>
      <c r="F1534" s="406">
        <v>274</v>
      </c>
      <c r="G1534" s="203"/>
      <c r="H1534" s="432" t="s">
        <v>417</v>
      </c>
      <c r="I1534" s="243" t="s">
        <v>6</v>
      </c>
      <c r="J1534" s="51">
        <v>1700000</v>
      </c>
      <c r="K1534" s="46"/>
      <c r="L1534" s="46">
        <f t="shared" ref="L1534:L1540" si="88">SUM(J1534+K1534)</f>
        <v>1700000</v>
      </c>
    </row>
    <row r="1535" spans="1:16" ht="15" x14ac:dyDescent="0.2">
      <c r="A1535" s="476"/>
      <c r="B1535" s="43"/>
      <c r="C1535" s="403"/>
      <c r="D1535" s="43"/>
      <c r="E1535" s="518"/>
      <c r="F1535" s="406">
        <v>275</v>
      </c>
      <c r="G1535" s="203"/>
      <c r="H1535" s="432" t="s">
        <v>588</v>
      </c>
      <c r="I1535" s="243" t="s">
        <v>7</v>
      </c>
      <c r="J1535" s="51">
        <v>1</v>
      </c>
      <c r="K1535" s="46"/>
      <c r="L1535" s="46">
        <f t="shared" si="88"/>
        <v>1</v>
      </c>
    </row>
    <row r="1536" spans="1:16" ht="15" x14ac:dyDescent="0.2">
      <c r="A1536" s="476"/>
      <c r="B1536" s="43"/>
      <c r="C1536" s="403"/>
      <c r="D1536" s="43"/>
      <c r="E1536" s="518"/>
      <c r="F1536" s="406">
        <v>276</v>
      </c>
      <c r="G1536" s="203"/>
      <c r="H1536" s="285" t="s">
        <v>80</v>
      </c>
      <c r="I1536" s="194" t="s">
        <v>9</v>
      </c>
      <c r="J1536" s="51">
        <v>1500000</v>
      </c>
      <c r="K1536" s="46"/>
      <c r="L1536" s="46">
        <f t="shared" si="88"/>
        <v>1500000</v>
      </c>
    </row>
    <row r="1537" spans="1:16" x14ac:dyDescent="0.2">
      <c r="A1537" s="476"/>
      <c r="B1537" s="43"/>
      <c r="D1537" s="476"/>
      <c r="E1537" s="518"/>
      <c r="F1537" s="406">
        <v>277</v>
      </c>
      <c r="G1537" s="203"/>
      <c r="H1537" s="285" t="s">
        <v>46</v>
      </c>
      <c r="I1537" s="194" t="s">
        <v>10</v>
      </c>
      <c r="J1537" s="51">
        <v>500000</v>
      </c>
      <c r="K1537" s="46"/>
      <c r="L1537" s="46">
        <f t="shared" si="88"/>
        <v>500000</v>
      </c>
    </row>
    <row r="1538" spans="1:16" x14ac:dyDescent="0.2">
      <c r="A1538" s="476"/>
      <c r="B1538" s="43"/>
      <c r="D1538" s="476"/>
      <c r="E1538" s="518"/>
      <c r="F1538" s="406">
        <v>278</v>
      </c>
      <c r="G1538" s="203"/>
      <c r="H1538" s="285" t="s">
        <v>224</v>
      </c>
      <c r="I1538" s="194" t="s">
        <v>35</v>
      </c>
      <c r="J1538" s="51">
        <v>800000</v>
      </c>
      <c r="K1538" s="46"/>
      <c r="L1538" s="46">
        <f t="shared" si="88"/>
        <v>800000</v>
      </c>
    </row>
    <row r="1539" spans="1:16" x14ac:dyDescent="0.2">
      <c r="A1539" s="476"/>
      <c r="B1539" s="43"/>
      <c r="D1539" s="476"/>
      <c r="E1539" s="518"/>
      <c r="F1539" s="406" t="s">
        <v>1079</v>
      </c>
      <c r="G1539" s="203"/>
      <c r="H1539" s="285" t="s">
        <v>270</v>
      </c>
      <c r="I1539" s="194" t="s">
        <v>20</v>
      </c>
      <c r="J1539" s="51">
        <v>2781822</v>
      </c>
      <c r="K1539" s="46"/>
      <c r="L1539" s="46">
        <f t="shared" si="88"/>
        <v>2781822</v>
      </c>
    </row>
    <row r="1540" spans="1:16" s="165" customFormat="1" x14ac:dyDescent="0.2">
      <c r="A1540" s="476"/>
      <c r="B1540" s="43"/>
      <c r="C1540" s="43"/>
      <c r="D1540" s="476"/>
      <c r="E1540" s="518"/>
      <c r="F1540" s="406">
        <v>279</v>
      </c>
      <c r="G1540" s="203"/>
      <c r="H1540" s="284">
        <v>512</v>
      </c>
      <c r="I1540" s="243" t="s">
        <v>21</v>
      </c>
      <c r="J1540" s="51">
        <v>7000000</v>
      </c>
      <c r="K1540" s="46"/>
      <c r="L1540" s="46">
        <f t="shared" si="88"/>
        <v>7000000</v>
      </c>
      <c r="M1540" s="992"/>
      <c r="N1540" s="834"/>
      <c r="O1540" s="163"/>
      <c r="P1540" s="832"/>
    </row>
    <row r="1541" spans="1:16" x14ac:dyDescent="0.2">
      <c r="A1541" s="582"/>
      <c r="B1541" s="583"/>
      <c r="C1541" s="583"/>
      <c r="D1541" s="601"/>
      <c r="E1541" s="563"/>
      <c r="F1541" s="284"/>
      <c r="G1541" s="293"/>
      <c r="H1541" s="584"/>
      <c r="I1541" s="268" t="s">
        <v>742</v>
      </c>
      <c r="J1541" s="319">
        <f>SUM(J1534:J1540)</f>
        <v>14281823</v>
      </c>
      <c r="K1541" s="695"/>
      <c r="L1541" s="695">
        <f>SUM(L1534:L1540)</f>
        <v>14281823</v>
      </c>
    </row>
    <row r="1542" spans="1:16" ht="15" x14ac:dyDescent="0.25">
      <c r="A1542" s="463"/>
      <c r="B1542" s="463"/>
      <c r="C1542" s="469"/>
      <c r="D1542" s="463"/>
      <c r="E1542" s="523"/>
      <c r="F1542" s="284"/>
      <c r="G1542" s="47" t="s">
        <v>37</v>
      </c>
      <c r="H1542" s="285"/>
      <c r="I1542" s="194" t="s">
        <v>38</v>
      </c>
      <c r="J1542" s="51">
        <f>SUM(J1541)</f>
        <v>14281823</v>
      </c>
      <c r="K1542" s="174"/>
      <c r="L1542" s="51">
        <f>SUM(J1541:K1541)</f>
        <v>14281823</v>
      </c>
      <c r="M1542" s="909"/>
    </row>
    <row r="1543" spans="1:16" ht="15" x14ac:dyDescent="0.25">
      <c r="A1543" s="463"/>
      <c r="B1543" s="463"/>
      <c r="C1543" s="469"/>
      <c r="D1543" s="463"/>
      <c r="E1543" s="523"/>
      <c r="F1543" s="407"/>
      <c r="G1543" s="41"/>
      <c r="H1543" s="286"/>
      <c r="I1543" s="242"/>
      <c r="J1543" s="27"/>
      <c r="K1543" s="167"/>
      <c r="L1543" s="300"/>
    </row>
    <row r="1544" spans="1:16" x14ac:dyDescent="0.2">
      <c r="A1544" s="626"/>
      <c r="B1544" s="627"/>
      <c r="C1544" s="627"/>
      <c r="D1544" s="594">
        <v>2001</v>
      </c>
      <c r="E1544" s="554"/>
      <c r="F1544" s="638"/>
      <c r="G1544" s="628"/>
      <c r="H1544" s="696"/>
      <c r="I1544" s="630" t="s">
        <v>633</v>
      </c>
      <c r="J1544" s="599">
        <f>SUM(J1574+J1587+J1593+J1598+J1604+J1609)</f>
        <v>429545141.22000003</v>
      </c>
      <c r="K1544" s="599">
        <f t="shared" ref="K1544:L1544" si="89">SUM(K1574+K1587+K1593+K1598+K1604+K1609)</f>
        <v>10500000</v>
      </c>
      <c r="L1544" s="599">
        <f t="shared" si="89"/>
        <v>440045141.22000003</v>
      </c>
    </row>
    <row r="1545" spans="1:16" x14ac:dyDescent="0.2">
      <c r="A1545" s="476"/>
      <c r="B1545" s="43"/>
      <c r="D1545" s="476"/>
      <c r="E1545" s="518"/>
      <c r="F1545" s="284"/>
      <c r="G1545" s="294"/>
      <c r="H1545" s="286"/>
      <c r="I1545" s="239"/>
      <c r="J1545" s="167"/>
      <c r="K1545" s="167"/>
      <c r="L1545" s="300"/>
    </row>
    <row r="1546" spans="1:16" x14ac:dyDescent="0.2">
      <c r="B1546" s="463"/>
      <c r="C1546" s="463"/>
      <c r="D1546" s="463"/>
      <c r="E1546" s="522"/>
      <c r="F1546" s="404"/>
      <c r="G1546" s="302"/>
      <c r="H1546" s="404"/>
      <c r="I1546" s="363" t="s">
        <v>272</v>
      </c>
      <c r="J1546" s="609"/>
      <c r="K1546" s="609"/>
      <c r="L1546" s="610" t="s">
        <v>217</v>
      </c>
    </row>
    <row r="1547" spans="1:16" x14ac:dyDescent="0.2">
      <c r="D1547" s="43"/>
      <c r="E1547" s="519" t="s">
        <v>229</v>
      </c>
      <c r="F1547" s="404"/>
      <c r="G1547" s="302"/>
      <c r="H1547" s="404"/>
      <c r="I1547" s="365" t="s">
        <v>228</v>
      </c>
      <c r="J1547" s="613"/>
      <c r="K1547" s="613"/>
      <c r="L1547" s="380"/>
    </row>
    <row r="1548" spans="1:16" ht="15" x14ac:dyDescent="0.25">
      <c r="B1548" s="43"/>
      <c r="D1548" s="43"/>
      <c r="E1548" s="518"/>
      <c r="F1548" s="284"/>
      <c r="G1548" s="41"/>
      <c r="H1548" s="288"/>
      <c r="I1548" s="697"/>
      <c r="J1548" s="223"/>
      <c r="K1548" s="223"/>
      <c r="L1548" s="224"/>
    </row>
    <row r="1549" spans="1:16" ht="15" x14ac:dyDescent="0.25">
      <c r="B1549" s="43"/>
      <c r="C1549" s="43">
        <v>911</v>
      </c>
      <c r="D1549" s="43"/>
      <c r="E1549" s="518"/>
      <c r="F1549" s="284"/>
      <c r="G1549" s="41"/>
      <c r="H1549" s="288"/>
      <c r="I1549" s="252" t="s">
        <v>59</v>
      </c>
      <c r="J1549" s="350"/>
      <c r="K1549" s="350"/>
      <c r="L1549" s="343"/>
    </row>
    <row r="1550" spans="1:16" ht="15" x14ac:dyDescent="0.25">
      <c r="B1550" s="633" t="s">
        <v>60</v>
      </c>
      <c r="D1550" s="43"/>
      <c r="E1550" s="518"/>
      <c r="F1550" s="284"/>
      <c r="G1550" s="41"/>
      <c r="H1550" s="288"/>
      <c r="I1550" s="698" t="s">
        <v>61</v>
      </c>
      <c r="J1550" s="699"/>
      <c r="K1550" s="699"/>
      <c r="L1550" s="700"/>
    </row>
    <row r="1551" spans="1:16" ht="15" x14ac:dyDescent="0.25">
      <c r="D1551" s="43"/>
      <c r="E1551" s="518"/>
      <c r="F1551" s="284"/>
      <c r="G1551" s="41"/>
      <c r="H1551" s="288"/>
      <c r="I1551" s="206"/>
      <c r="J1551" s="223"/>
      <c r="K1551" s="223"/>
      <c r="L1551" s="224"/>
    </row>
    <row r="1552" spans="1:16" x14ac:dyDescent="0.2">
      <c r="D1552" s="43"/>
      <c r="E1552" s="518"/>
      <c r="F1552" s="284">
        <v>280</v>
      </c>
      <c r="G1552" s="41"/>
      <c r="H1552" s="284">
        <v>411</v>
      </c>
      <c r="I1552" s="194" t="s">
        <v>2</v>
      </c>
      <c r="J1552" s="204">
        <f>110606081.64+8592000</f>
        <v>119198081.64</v>
      </c>
      <c r="K1552" s="204"/>
      <c r="L1552" s="46">
        <f>SUM(J1552+K1552)</f>
        <v>119198081.64</v>
      </c>
      <c r="M1552" s="1159"/>
      <c r="N1552" s="1160"/>
    </row>
    <row r="1553" spans="4:14" x14ac:dyDescent="0.2">
      <c r="D1553" s="43"/>
      <c r="E1553" s="518"/>
      <c r="F1553" s="284">
        <v>281</v>
      </c>
      <c r="G1553" s="41"/>
      <c r="H1553" s="284">
        <v>412</v>
      </c>
      <c r="I1553" s="243" t="s">
        <v>3</v>
      </c>
      <c r="J1553" s="204">
        <f>18969431.58+1473528</f>
        <v>20442959.579999998</v>
      </c>
      <c r="K1553" s="204"/>
      <c r="L1553" s="46">
        <f t="shared" ref="L1553:L1573" si="90">SUM(J1553+K1553)</f>
        <v>20442959.579999998</v>
      </c>
      <c r="M1553" s="1161"/>
      <c r="N1553" s="1162"/>
    </row>
    <row r="1554" spans="4:14" x14ac:dyDescent="0.2">
      <c r="D1554" s="43"/>
      <c r="E1554" s="518"/>
      <c r="F1554" s="284">
        <v>282</v>
      </c>
      <c r="G1554" s="41"/>
      <c r="H1554" s="284">
        <v>413</v>
      </c>
      <c r="I1554" s="194" t="s">
        <v>33</v>
      </c>
      <c r="J1554" s="45">
        <v>2840000</v>
      </c>
      <c r="K1554" s="204"/>
      <c r="L1554" s="46">
        <f t="shared" si="90"/>
        <v>2840000</v>
      </c>
    </row>
    <row r="1555" spans="4:14" x14ac:dyDescent="0.2">
      <c r="D1555" s="43"/>
      <c r="E1555" s="518"/>
      <c r="F1555" s="284">
        <v>283</v>
      </c>
      <c r="G1555" s="41"/>
      <c r="H1555" s="284">
        <v>414</v>
      </c>
      <c r="I1555" s="194" t="s">
        <v>34</v>
      </c>
      <c r="J1555" s="45">
        <v>4530000</v>
      </c>
      <c r="K1555" s="204">
        <v>9000000</v>
      </c>
      <c r="L1555" s="46">
        <f t="shared" si="90"/>
        <v>13530000</v>
      </c>
    </row>
    <row r="1556" spans="4:14" x14ac:dyDescent="0.2">
      <c r="D1556" s="43"/>
      <c r="E1556" s="518"/>
      <c r="F1556" s="284">
        <v>284</v>
      </c>
      <c r="G1556" s="41"/>
      <c r="H1556" s="284">
        <v>415</v>
      </c>
      <c r="I1556" s="243" t="s">
        <v>5</v>
      </c>
      <c r="J1556" s="45">
        <v>7000000</v>
      </c>
      <c r="K1556" s="204"/>
      <c r="L1556" s="46">
        <f t="shared" si="90"/>
        <v>7000000</v>
      </c>
    </row>
    <row r="1557" spans="4:14" x14ac:dyDescent="0.2">
      <c r="D1557" s="43"/>
      <c r="E1557" s="518"/>
      <c r="F1557" s="284">
        <v>285</v>
      </c>
      <c r="G1557" s="41"/>
      <c r="H1557" s="284">
        <v>416</v>
      </c>
      <c r="I1557" s="243" t="s">
        <v>6</v>
      </c>
      <c r="J1557" s="45">
        <v>1600000</v>
      </c>
      <c r="K1557" s="204"/>
      <c r="L1557" s="46">
        <f t="shared" si="90"/>
        <v>1600000</v>
      </c>
    </row>
    <row r="1558" spans="4:14" x14ac:dyDescent="0.2">
      <c r="D1558" s="43"/>
      <c r="E1558" s="518"/>
      <c r="F1558" s="284">
        <v>286</v>
      </c>
      <c r="G1558" s="41"/>
      <c r="H1558" s="284">
        <v>421</v>
      </c>
      <c r="I1558" s="243" t="s">
        <v>7</v>
      </c>
      <c r="J1558" s="45">
        <f>25000000+160000</f>
        <v>25160000</v>
      </c>
      <c r="K1558" s="204">
        <v>850000</v>
      </c>
      <c r="L1558" s="46">
        <f t="shared" si="90"/>
        <v>26010000</v>
      </c>
    </row>
    <row r="1559" spans="4:14" x14ac:dyDescent="0.2">
      <c r="D1559" s="43"/>
      <c r="E1559" s="518"/>
      <c r="F1559" s="284">
        <v>287</v>
      </c>
      <c r="G1559" s="41"/>
      <c r="H1559" s="284">
        <v>422</v>
      </c>
      <c r="I1559" s="194" t="s">
        <v>8</v>
      </c>
      <c r="J1559" s="45">
        <v>750000</v>
      </c>
      <c r="K1559" s="204"/>
      <c r="L1559" s="46">
        <f t="shared" si="90"/>
        <v>750000</v>
      </c>
    </row>
    <row r="1560" spans="4:14" x14ac:dyDescent="0.2">
      <c r="D1560" s="43"/>
      <c r="E1560" s="518"/>
      <c r="F1560" s="284">
        <v>288</v>
      </c>
      <c r="G1560" s="41"/>
      <c r="H1560" s="284">
        <v>423</v>
      </c>
      <c r="I1560" s="194" t="s">
        <v>9</v>
      </c>
      <c r="J1560" s="45">
        <f>5000000+497600</f>
        <v>5497600</v>
      </c>
      <c r="K1560" s="204"/>
      <c r="L1560" s="46">
        <f t="shared" si="90"/>
        <v>5497600</v>
      </c>
    </row>
    <row r="1561" spans="4:14" x14ac:dyDescent="0.2">
      <c r="D1561" s="43"/>
      <c r="E1561" s="518"/>
      <c r="F1561" s="284">
        <v>289</v>
      </c>
      <c r="G1561" s="41"/>
      <c r="H1561" s="284">
        <v>424</v>
      </c>
      <c r="I1561" s="194" t="s">
        <v>10</v>
      </c>
      <c r="J1561" s="45">
        <v>3500000</v>
      </c>
      <c r="K1561" s="204">
        <v>650000</v>
      </c>
      <c r="L1561" s="46">
        <f t="shared" si="90"/>
        <v>4150000</v>
      </c>
    </row>
    <row r="1562" spans="4:14" x14ac:dyDescent="0.2">
      <c r="D1562" s="43"/>
      <c r="E1562" s="518"/>
      <c r="F1562" s="284">
        <v>290</v>
      </c>
      <c r="G1562" s="41"/>
      <c r="H1562" s="284">
        <v>425</v>
      </c>
      <c r="I1562" s="194" t="s">
        <v>11</v>
      </c>
      <c r="J1562" s="45">
        <v>12000000</v>
      </c>
      <c r="K1562" s="204"/>
      <c r="L1562" s="46">
        <f t="shared" si="90"/>
        <v>12000000</v>
      </c>
    </row>
    <row r="1563" spans="4:14" x14ac:dyDescent="0.2">
      <c r="D1563" s="43"/>
      <c r="E1563" s="518"/>
      <c r="F1563" s="284">
        <v>291</v>
      </c>
      <c r="G1563" s="41"/>
      <c r="H1563" s="284">
        <v>426</v>
      </c>
      <c r="I1563" s="194" t="s">
        <v>35</v>
      </c>
      <c r="J1563" s="45">
        <f>33400000+2250000</f>
        <v>35650000</v>
      </c>
      <c r="K1563" s="204"/>
      <c r="L1563" s="46">
        <f t="shared" si="90"/>
        <v>35650000</v>
      </c>
    </row>
    <row r="1564" spans="4:14" x14ac:dyDescent="0.2">
      <c r="D1564" s="43"/>
      <c r="E1564" s="518"/>
      <c r="F1564" s="284">
        <v>292</v>
      </c>
      <c r="G1564" s="41"/>
      <c r="H1564" s="284">
        <v>431</v>
      </c>
      <c r="I1564" s="194" t="s">
        <v>12</v>
      </c>
      <c r="J1564" s="45">
        <v>200000</v>
      </c>
      <c r="K1564" s="204"/>
      <c r="L1564" s="46">
        <f t="shared" si="90"/>
        <v>200000</v>
      </c>
    </row>
    <row r="1565" spans="4:14" x14ac:dyDescent="0.2">
      <c r="D1565" s="43"/>
      <c r="E1565" s="518"/>
      <c r="F1565" s="284">
        <v>293</v>
      </c>
      <c r="G1565" s="41"/>
      <c r="H1565" s="284">
        <v>441</v>
      </c>
      <c r="I1565" s="194" t="s">
        <v>13</v>
      </c>
      <c r="J1565" s="45">
        <v>100000</v>
      </c>
      <c r="K1565" s="204"/>
      <c r="L1565" s="46">
        <f t="shared" si="90"/>
        <v>100000</v>
      </c>
    </row>
    <row r="1566" spans="4:14" x14ac:dyDescent="0.2">
      <c r="D1566" s="43"/>
      <c r="E1566" s="518"/>
      <c r="F1566" s="284">
        <v>294</v>
      </c>
      <c r="G1566" s="41"/>
      <c r="H1566" s="284">
        <v>444</v>
      </c>
      <c r="I1566" s="194" t="s">
        <v>14</v>
      </c>
      <c r="J1566" s="45">
        <v>200000</v>
      </c>
      <c r="K1566" s="204"/>
      <c r="L1566" s="46">
        <f t="shared" si="90"/>
        <v>200000</v>
      </c>
    </row>
    <row r="1567" spans="4:14" x14ac:dyDescent="0.2">
      <c r="D1567" s="43"/>
      <c r="E1567" s="518"/>
      <c r="F1567" s="284">
        <v>295</v>
      </c>
      <c r="G1567" s="41"/>
      <c r="H1567" s="284">
        <v>465</v>
      </c>
      <c r="I1567" s="194" t="s">
        <v>221</v>
      </c>
      <c r="J1567" s="45">
        <v>13876500</v>
      </c>
      <c r="K1567" s="204"/>
      <c r="L1567" s="46">
        <f t="shared" si="90"/>
        <v>13876500</v>
      </c>
    </row>
    <row r="1568" spans="4:14" x14ac:dyDescent="0.2">
      <c r="D1568" s="43"/>
      <c r="E1568" s="518"/>
      <c r="F1568" s="284">
        <v>296</v>
      </c>
      <c r="G1568" s="41"/>
      <c r="H1568" s="284">
        <v>482</v>
      </c>
      <c r="I1568" s="194" t="s">
        <v>17</v>
      </c>
      <c r="J1568" s="45">
        <v>600000</v>
      </c>
      <c r="K1568" s="204"/>
      <c r="L1568" s="46">
        <f t="shared" si="90"/>
        <v>600000</v>
      </c>
    </row>
    <row r="1569" spans="1:14" x14ac:dyDescent="0.2">
      <c r="D1569" s="43"/>
      <c r="E1569" s="518"/>
      <c r="F1569" s="284">
        <v>297</v>
      </c>
      <c r="G1569" s="41"/>
      <c r="H1569" s="284">
        <v>483</v>
      </c>
      <c r="I1569" s="194" t="s">
        <v>18</v>
      </c>
      <c r="J1569" s="45">
        <v>2200000</v>
      </c>
      <c r="K1569" s="204"/>
      <c r="L1569" s="46">
        <f t="shared" si="90"/>
        <v>2200000</v>
      </c>
    </row>
    <row r="1570" spans="1:14" x14ac:dyDescent="0.2">
      <c r="D1570" s="43"/>
      <c r="E1570" s="518"/>
      <c r="F1570" s="284">
        <v>298</v>
      </c>
      <c r="G1570" s="41"/>
      <c r="H1570" s="284">
        <v>511</v>
      </c>
      <c r="I1570" s="194" t="s">
        <v>20</v>
      </c>
      <c r="J1570" s="45">
        <v>1200000</v>
      </c>
      <c r="K1570" s="204"/>
      <c r="L1570" s="46">
        <f t="shared" si="90"/>
        <v>1200000</v>
      </c>
    </row>
    <row r="1571" spans="1:14" x14ac:dyDescent="0.2">
      <c r="D1571" s="43"/>
      <c r="E1571" s="518"/>
      <c r="F1571" s="284">
        <v>299</v>
      </c>
      <c r="G1571" s="41"/>
      <c r="H1571" s="284">
        <v>512</v>
      </c>
      <c r="I1571" s="194" t="s">
        <v>21</v>
      </c>
      <c r="J1571" s="45">
        <v>20200000</v>
      </c>
      <c r="K1571" s="204"/>
      <c r="L1571" s="46">
        <f t="shared" si="90"/>
        <v>20200000</v>
      </c>
    </row>
    <row r="1572" spans="1:14" x14ac:dyDescent="0.2">
      <c r="D1572" s="43"/>
      <c r="E1572" s="518"/>
      <c r="F1572" s="284">
        <v>300</v>
      </c>
      <c r="G1572" s="41"/>
      <c r="H1572" s="284">
        <v>513</v>
      </c>
      <c r="I1572" s="194" t="s">
        <v>22</v>
      </c>
      <c r="J1572" s="45">
        <v>1000000</v>
      </c>
      <c r="K1572" s="204"/>
      <c r="L1572" s="46">
        <f t="shared" si="90"/>
        <v>1000000</v>
      </c>
    </row>
    <row r="1573" spans="1:14" x14ac:dyDescent="0.2">
      <c r="D1573" s="43"/>
      <c r="E1573" s="518"/>
      <c r="F1573" s="284">
        <v>301</v>
      </c>
      <c r="G1573" s="41"/>
      <c r="H1573" s="284">
        <v>515</v>
      </c>
      <c r="I1573" s="194" t="s">
        <v>23</v>
      </c>
      <c r="J1573" s="45">
        <v>800000</v>
      </c>
      <c r="K1573" s="204"/>
      <c r="L1573" s="46">
        <f t="shared" si="90"/>
        <v>800000</v>
      </c>
    </row>
    <row r="1574" spans="1:14" x14ac:dyDescent="0.2">
      <c r="D1574" s="43"/>
      <c r="E1574" s="518"/>
      <c r="F1574" s="284"/>
      <c r="G1574" s="41"/>
      <c r="H1574" s="286"/>
      <c r="I1574" s="202" t="s">
        <v>604</v>
      </c>
      <c r="J1574" s="174">
        <f>SUM(J1552:J1573)</f>
        <v>278545141.22000003</v>
      </c>
      <c r="K1574" s="174">
        <f t="shared" ref="K1574:L1574" si="91">SUM(K1552:K1573)</f>
        <v>10500000</v>
      </c>
      <c r="L1574" s="174">
        <f t="shared" si="91"/>
        <v>289045141.22000003</v>
      </c>
    </row>
    <row r="1575" spans="1:14" ht="15" x14ac:dyDescent="0.2">
      <c r="D1575" s="43"/>
      <c r="E1575" s="518"/>
      <c r="F1575" s="284"/>
      <c r="G1575" s="41"/>
      <c r="H1575" s="285"/>
      <c r="I1575" s="701"/>
      <c r="J1575" s="702"/>
      <c r="K1575" s="702"/>
      <c r="L1575" s="703"/>
    </row>
    <row r="1576" spans="1:14" x14ac:dyDescent="0.2">
      <c r="D1576" s="43"/>
      <c r="E1576" s="518"/>
      <c r="F1576" s="284"/>
      <c r="G1576" s="47" t="s">
        <v>37</v>
      </c>
      <c r="H1576" s="285"/>
      <c r="I1576" s="194" t="s">
        <v>38</v>
      </c>
      <c r="J1576" s="46">
        <f>SUM(J1579-J1578-J1577)</f>
        <v>265545141.22000003</v>
      </c>
      <c r="K1576" s="340"/>
      <c r="L1576" s="46">
        <f>SUM(J1576:K1576)</f>
        <v>265545141.22000003</v>
      </c>
    </row>
    <row r="1577" spans="1:14" x14ac:dyDescent="0.2">
      <c r="D1577" s="43"/>
      <c r="E1577" s="518"/>
      <c r="F1577" s="284"/>
      <c r="G1577" s="47" t="s">
        <v>113</v>
      </c>
      <c r="H1577" s="284"/>
      <c r="I1577" s="194" t="s">
        <v>280</v>
      </c>
      <c r="J1577" s="46">
        <v>13000000</v>
      </c>
      <c r="K1577" s="46">
        <f>SUM(K1579-K1578)</f>
        <v>9000000</v>
      </c>
      <c r="L1577" s="46">
        <f t="shared" ref="L1577:L1578" si="92">SUM(J1577:K1577)</f>
        <v>22000000</v>
      </c>
      <c r="N1577" s="653"/>
    </row>
    <row r="1578" spans="1:14" x14ac:dyDescent="0.2">
      <c r="C1578" s="463"/>
      <c r="D1578" s="463"/>
      <c r="E1578" s="523"/>
      <c r="F1578" s="284"/>
      <c r="G1578" s="47" t="s">
        <v>573</v>
      </c>
      <c r="H1578" s="284"/>
      <c r="I1578" s="194" t="s">
        <v>574</v>
      </c>
      <c r="J1578" s="46"/>
      <c r="K1578" s="46">
        <v>1500000</v>
      </c>
      <c r="L1578" s="46">
        <f t="shared" si="92"/>
        <v>1500000</v>
      </c>
    </row>
    <row r="1579" spans="1:14" x14ac:dyDescent="0.2">
      <c r="C1579" s="463"/>
      <c r="D1579" s="463"/>
      <c r="E1579" s="523"/>
      <c r="F1579" s="284"/>
      <c r="G1579" s="41"/>
      <c r="H1579" s="285"/>
      <c r="I1579" s="781" t="s">
        <v>729</v>
      </c>
      <c r="J1579" s="782">
        <f>SUM(J1574)</f>
        <v>278545141.22000003</v>
      </c>
      <c r="K1579" s="782">
        <f>SUM(K1574)</f>
        <v>10500000</v>
      </c>
      <c r="L1579" s="782">
        <f>SUM(J1579:K1579)</f>
        <v>289045141.22000003</v>
      </c>
    </row>
    <row r="1580" spans="1:14" x14ac:dyDescent="0.2">
      <c r="C1580" s="463"/>
      <c r="D1580" s="463"/>
      <c r="E1580" s="523"/>
      <c r="F1580" s="284"/>
      <c r="G1580" s="41"/>
      <c r="H1580" s="284"/>
      <c r="I1580" s="24"/>
      <c r="J1580" s="167"/>
      <c r="K1580" s="167"/>
      <c r="L1580" s="300"/>
      <c r="N1580" s="16"/>
    </row>
    <row r="1581" spans="1:14" ht="15" x14ac:dyDescent="0.25">
      <c r="A1581" s="704"/>
      <c r="B1581" s="704"/>
      <c r="C1581" s="43">
        <v>620</v>
      </c>
      <c r="D1581" s="43"/>
      <c r="E1581" s="518"/>
      <c r="F1581" s="284"/>
      <c r="G1581" s="41"/>
      <c r="H1581" s="288"/>
      <c r="I1581" s="270" t="s">
        <v>105</v>
      </c>
      <c r="J1581" s="705"/>
      <c r="K1581" s="705"/>
      <c r="L1581" s="706"/>
      <c r="N1581" s="16"/>
    </row>
    <row r="1582" spans="1:14" ht="15" x14ac:dyDescent="0.2">
      <c r="D1582" s="43"/>
      <c r="E1582" s="518"/>
      <c r="F1582" s="284"/>
      <c r="G1582" s="41"/>
      <c r="H1582" s="285"/>
      <c r="I1582" s="17"/>
      <c r="J1582" s="702"/>
      <c r="K1582" s="702"/>
      <c r="L1582" s="703"/>
      <c r="N1582" s="16"/>
    </row>
    <row r="1583" spans="1:14" ht="22.5" x14ac:dyDescent="0.2">
      <c r="D1583" s="645"/>
      <c r="E1583" s="520">
        <v>2001</v>
      </c>
      <c r="F1583" s="358"/>
      <c r="G1583" s="307"/>
      <c r="H1583" s="360"/>
      <c r="I1583" s="312" t="s">
        <v>757</v>
      </c>
      <c r="J1583" s="71"/>
      <c r="K1583" s="71"/>
      <c r="L1583" s="233"/>
      <c r="N1583" s="16"/>
    </row>
    <row r="1584" spans="1:14" x14ac:dyDescent="0.2">
      <c r="D1584" s="645"/>
      <c r="E1584" s="521"/>
      <c r="F1584" s="792" t="s">
        <v>969</v>
      </c>
      <c r="G1584" s="793"/>
      <c r="H1584" s="794" t="s">
        <v>46</v>
      </c>
      <c r="I1584" s="807" t="s">
        <v>10</v>
      </c>
      <c r="J1584" s="816">
        <v>200000</v>
      </c>
      <c r="K1584" s="817"/>
      <c r="L1584" s="797">
        <f>SUM(J1584:K1584)</f>
        <v>200000</v>
      </c>
      <c r="N1584" s="16"/>
    </row>
    <row r="1585" spans="4:14" x14ac:dyDescent="0.2">
      <c r="D1585" s="43"/>
      <c r="E1585" s="518"/>
      <c r="F1585" s="284">
        <v>302</v>
      </c>
      <c r="G1585" s="41"/>
      <c r="H1585" s="285" t="s">
        <v>270</v>
      </c>
      <c r="I1585" s="194" t="s">
        <v>20</v>
      </c>
      <c r="J1585" s="51">
        <v>132600000</v>
      </c>
      <c r="K1585" s="51"/>
      <c r="L1585" s="51">
        <f>SUM(J1585:K1585)</f>
        <v>132600000</v>
      </c>
    </row>
    <row r="1586" spans="4:14" x14ac:dyDescent="0.2">
      <c r="D1586" s="43"/>
      <c r="E1586" s="518"/>
      <c r="F1586" s="284"/>
      <c r="G1586" s="47" t="s">
        <v>37</v>
      </c>
      <c r="H1586" s="284"/>
      <c r="I1586" s="194" t="s">
        <v>38</v>
      </c>
      <c r="J1586" s="51">
        <f>SUM(J1584:J1585)</f>
        <v>132800000</v>
      </c>
      <c r="K1586" s="52"/>
      <c r="L1586" s="51">
        <f>SUM(J1586:K1586)</f>
        <v>132800000</v>
      </c>
    </row>
    <row r="1587" spans="4:14" ht="15" x14ac:dyDescent="0.25">
      <c r="D1587" s="43"/>
      <c r="E1587" s="518"/>
      <c r="F1587" s="284"/>
      <c r="G1587" s="41"/>
      <c r="H1587" s="287"/>
      <c r="I1587" s="202" t="s">
        <v>710</v>
      </c>
      <c r="J1587" s="52">
        <f>SUM(J1584:J1585)</f>
        <v>132800000</v>
      </c>
      <c r="K1587" s="52"/>
      <c r="L1587" s="52">
        <f>SUM(J1586:K1586)</f>
        <v>132800000</v>
      </c>
    </row>
    <row r="1588" spans="4:14" x14ac:dyDescent="0.2">
      <c r="D1588" s="43"/>
      <c r="E1588" s="518"/>
      <c r="F1588" s="284"/>
      <c r="G1588" s="41"/>
      <c r="H1588" s="285"/>
      <c r="I1588" s="17"/>
      <c r="J1588" s="167"/>
      <c r="K1588" s="167"/>
      <c r="L1588" s="167"/>
    </row>
    <row r="1589" spans="4:14" x14ac:dyDescent="0.2">
      <c r="D1589" s="43"/>
      <c r="E1589" s="520">
        <v>2001</v>
      </c>
      <c r="F1589" s="358"/>
      <c r="G1589" s="307"/>
      <c r="H1589" s="358"/>
      <c r="I1589" s="312" t="s">
        <v>809</v>
      </c>
      <c r="J1589" s="71"/>
      <c r="K1589" s="71"/>
      <c r="L1589" s="233"/>
    </row>
    <row r="1590" spans="4:14" x14ac:dyDescent="0.2">
      <c r="D1590" s="43"/>
      <c r="E1590" s="521"/>
      <c r="F1590" s="792" t="s">
        <v>968</v>
      </c>
      <c r="G1590" s="793"/>
      <c r="H1590" s="794" t="s">
        <v>46</v>
      </c>
      <c r="I1590" s="807" t="s">
        <v>10</v>
      </c>
      <c r="J1590" s="816">
        <v>200000</v>
      </c>
      <c r="K1590" s="817"/>
      <c r="L1590" s="797">
        <f>SUM(J1590:K1590)</f>
        <v>200000</v>
      </c>
    </row>
    <row r="1591" spans="4:14" x14ac:dyDescent="0.2">
      <c r="D1591" s="43"/>
      <c r="E1591" s="518"/>
      <c r="F1591" s="284">
        <v>303</v>
      </c>
      <c r="G1591" s="41"/>
      <c r="H1591" s="285" t="s">
        <v>270</v>
      </c>
      <c r="I1591" s="244" t="s">
        <v>20</v>
      </c>
      <c r="J1591" s="107">
        <v>7000000</v>
      </c>
      <c r="K1591" s="107"/>
      <c r="L1591" s="107">
        <f>SUM(J1591:K1591)</f>
        <v>7000000</v>
      </c>
    </row>
    <row r="1592" spans="4:14" x14ac:dyDescent="0.2">
      <c r="D1592" s="645"/>
      <c r="E1592" s="518"/>
      <c r="F1592" s="284"/>
      <c r="G1592" s="47" t="s">
        <v>37</v>
      </c>
      <c r="H1592" s="284"/>
      <c r="I1592" s="194" t="s">
        <v>38</v>
      </c>
      <c r="J1592" s="51">
        <f>SUM(J1590:J1591)</f>
        <v>7200000</v>
      </c>
      <c r="K1592" s="52"/>
      <c r="L1592" s="51">
        <f>SUM(J1592:K1592)</f>
        <v>7200000</v>
      </c>
    </row>
    <row r="1593" spans="4:14" ht="15" x14ac:dyDescent="0.25">
      <c r="D1593" s="43"/>
      <c r="E1593" s="518"/>
      <c r="F1593" s="284"/>
      <c r="G1593" s="41"/>
      <c r="H1593" s="288"/>
      <c r="I1593" s="202" t="s">
        <v>710</v>
      </c>
      <c r="J1593" s="52">
        <f>SUM(J1592)</f>
        <v>7200000</v>
      </c>
      <c r="K1593" s="52"/>
      <c r="L1593" s="52">
        <f>SUM(J1592:K1592)</f>
        <v>7200000</v>
      </c>
    </row>
    <row r="1594" spans="4:14" ht="15" x14ac:dyDescent="0.2">
      <c r="D1594" s="43"/>
      <c r="E1594" s="518"/>
      <c r="F1594" s="284"/>
      <c r="G1594" s="41"/>
      <c r="H1594" s="285"/>
      <c r="I1594" s="17"/>
      <c r="J1594" s="702"/>
      <c r="K1594" s="702"/>
      <c r="L1594" s="703"/>
    </row>
    <row r="1595" spans="4:14" ht="22.5" x14ac:dyDescent="0.2">
      <c r="D1595" s="43"/>
      <c r="E1595" s="520">
        <v>2001</v>
      </c>
      <c r="F1595" s="358"/>
      <c r="G1595" s="307"/>
      <c r="H1595" s="358"/>
      <c r="I1595" s="312" t="s">
        <v>756</v>
      </c>
      <c r="J1595" s="71"/>
      <c r="K1595" s="71"/>
      <c r="L1595" s="233"/>
    </row>
    <row r="1596" spans="4:14" ht="15" x14ac:dyDescent="0.2">
      <c r="D1596" s="43"/>
      <c r="E1596" s="523"/>
      <c r="F1596" s="284">
        <v>304</v>
      </c>
      <c r="G1596" s="41"/>
      <c r="H1596" s="439" t="s">
        <v>270</v>
      </c>
      <c r="I1596" s="275" t="s">
        <v>20</v>
      </c>
      <c r="J1596" s="51">
        <v>2500000</v>
      </c>
      <c r="K1596" s="52"/>
      <c r="L1596" s="51">
        <f>SUM(J1596:K1596)</f>
        <v>2500000</v>
      </c>
      <c r="N1596" s="845"/>
    </row>
    <row r="1597" spans="4:14" ht="15" x14ac:dyDescent="0.2">
      <c r="D1597" s="645"/>
      <c r="E1597" s="523"/>
      <c r="F1597" s="284"/>
      <c r="G1597" s="47" t="s">
        <v>37</v>
      </c>
      <c r="H1597" s="409"/>
      <c r="I1597" s="244" t="s">
        <v>38</v>
      </c>
      <c r="J1597" s="107">
        <f>SUM(J1596:J1596)</f>
        <v>2500000</v>
      </c>
      <c r="K1597" s="318"/>
      <c r="L1597" s="107">
        <f>SUM(J1596:K1596)</f>
        <v>2500000</v>
      </c>
    </row>
    <row r="1598" spans="4:14" ht="15" x14ac:dyDescent="0.25">
      <c r="D1598" s="43"/>
      <c r="E1598" s="518"/>
      <c r="F1598" s="284"/>
      <c r="G1598" s="41"/>
      <c r="H1598" s="288"/>
      <c r="I1598" s="202" t="s">
        <v>710</v>
      </c>
      <c r="J1598" s="52">
        <f>SUM(J1597)</f>
        <v>2500000</v>
      </c>
      <c r="K1598" s="52"/>
      <c r="L1598" s="52">
        <f>SUM(J1597:K1597)</f>
        <v>2500000</v>
      </c>
    </row>
    <row r="1599" spans="4:14" ht="15" x14ac:dyDescent="0.2">
      <c r="D1599" s="43"/>
      <c r="E1599" s="518"/>
      <c r="F1599" s="746"/>
      <c r="G1599" s="41"/>
      <c r="H1599" s="439"/>
      <c r="I1599" s="17"/>
      <c r="J1599" s="702"/>
      <c r="K1599" s="702"/>
      <c r="L1599" s="703"/>
    </row>
    <row r="1600" spans="4:14" ht="22.5" x14ac:dyDescent="0.2">
      <c r="D1600" s="43"/>
      <c r="E1600" s="520" t="s">
        <v>380</v>
      </c>
      <c r="F1600" s="747"/>
      <c r="G1600" s="448"/>
      <c r="H1600" s="449"/>
      <c r="I1600" s="450" t="s">
        <v>1070</v>
      </c>
      <c r="J1600" s="212"/>
      <c r="K1600" s="212"/>
      <c r="L1600" s="213"/>
    </row>
    <row r="1601" spans="1:16" x14ac:dyDescent="0.2">
      <c r="D1601" s="43"/>
      <c r="E1601" s="521"/>
      <c r="F1601" s="792" t="s">
        <v>967</v>
      </c>
      <c r="G1601" s="793"/>
      <c r="H1601" s="794" t="s">
        <v>46</v>
      </c>
      <c r="I1601" s="807" t="s">
        <v>10</v>
      </c>
      <c r="J1601" s="816">
        <v>200000</v>
      </c>
      <c r="K1601" s="817"/>
      <c r="L1601" s="797">
        <f>SUM(J1601:K1601)</f>
        <v>200000</v>
      </c>
    </row>
    <row r="1602" spans="1:16" ht="15" x14ac:dyDescent="0.2">
      <c r="D1602" s="43"/>
      <c r="E1602" s="518"/>
      <c r="F1602" s="408">
        <v>305</v>
      </c>
      <c r="G1602" s="214"/>
      <c r="H1602" s="439" t="s">
        <v>270</v>
      </c>
      <c r="I1602" s="275" t="s">
        <v>20</v>
      </c>
      <c r="J1602" s="204">
        <v>8000000</v>
      </c>
      <c r="K1602" s="204"/>
      <c r="L1602" s="204">
        <f>SUM(J1602:K1602)</f>
        <v>8000000</v>
      </c>
    </row>
    <row r="1603" spans="1:16" ht="15" x14ac:dyDescent="0.2">
      <c r="D1603" s="43"/>
      <c r="E1603" s="518"/>
      <c r="F1603" s="746"/>
      <c r="G1603" s="297" t="s">
        <v>37</v>
      </c>
      <c r="H1603" s="409"/>
      <c r="I1603" s="275" t="s">
        <v>38</v>
      </c>
      <c r="J1603" s="204">
        <f>SUM(J1601:J1602)</f>
        <v>8200000</v>
      </c>
      <c r="K1603" s="204"/>
      <c r="L1603" s="204">
        <f>SUM(J1603:K1603)</f>
        <v>8200000</v>
      </c>
    </row>
    <row r="1604" spans="1:16" ht="15" x14ac:dyDescent="0.25">
      <c r="D1604" s="43"/>
      <c r="E1604" s="518"/>
      <c r="F1604" s="746"/>
      <c r="G1604" s="214"/>
      <c r="H1604" s="288"/>
      <c r="I1604" s="277" t="s">
        <v>710</v>
      </c>
      <c r="J1604" s="215">
        <f>SUM(J1603)</f>
        <v>8200000</v>
      </c>
      <c r="K1604" s="204"/>
      <c r="L1604" s="225">
        <f>SUM(J1604:K1604)</f>
        <v>8200000</v>
      </c>
    </row>
    <row r="1605" spans="1:16" ht="15" x14ac:dyDescent="0.2">
      <c r="D1605" s="43"/>
      <c r="E1605" s="518"/>
      <c r="F1605" s="746"/>
      <c r="G1605" s="214"/>
      <c r="H1605" s="439"/>
      <c r="I1605" s="216"/>
      <c r="J1605" s="217"/>
      <c r="K1605" s="218"/>
      <c r="L1605" s="218"/>
    </row>
    <row r="1606" spans="1:16" ht="22.5" x14ac:dyDescent="0.2">
      <c r="D1606" s="43"/>
      <c r="E1606" s="520" t="s">
        <v>380</v>
      </c>
      <c r="F1606" s="747"/>
      <c r="G1606" s="448"/>
      <c r="H1606" s="360"/>
      <c r="I1606" s="451" t="s">
        <v>755</v>
      </c>
      <c r="J1606" s="219"/>
      <c r="K1606" s="219"/>
      <c r="L1606" s="220"/>
    </row>
    <row r="1607" spans="1:16" ht="15" x14ac:dyDescent="0.2">
      <c r="D1607" s="43"/>
      <c r="E1607" s="518"/>
      <c r="F1607" s="408">
        <v>306</v>
      </c>
      <c r="G1607" s="214"/>
      <c r="H1607" s="432" t="s">
        <v>270</v>
      </c>
      <c r="I1607" s="278" t="s">
        <v>20</v>
      </c>
      <c r="J1607" s="221">
        <v>300000</v>
      </c>
      <c r="K1607" s="221"/>
      <c r="L1607" s="221">
        <f>SUM(J1607:K1607)</f>
        <v>300000</v>
      </c>
    </row>
    <row r="1608" spans="1:16" ht="15" x14ac:dyDescent="0.2">
      <c r="A1608" s="648"/>
      <c r="B1608" s="648"/>
      <c r="C1608" s="583"/>
      <c r="D1608" s="583"/>
      <c r="E1608" s="563"/>
      <c r="F1608" s="746"/>
      <c r="G1608" s="297" t="s">
        <v>37</v>
      </c>
      <c r="H1608" s="432"/>
      <c r="I1608" s="275" t="s">
        <v>38</v>
      </c>
      <c r="J1608" s="204">
        <f>SUM(J1607:J1607)</f>
        <v>300000</v>
      </c>
      <c r="K1608" s="204"/>
      <c r="L1608" s="204">
        <f>SUM(J1607:K1607)</f>
        <v>300000</v>
      </c>
    </row>
    <row r="1609" spans="1:16" ht="15" x14ac:dyDescent="0.2">
      <c r="E1609" s="518"/>
      <c r="F1609" s="284"/>
      <c r="G1609" s="214"/>
      <c r="H1609" s="285"/>
      <c r="I1609" s="277" t="s">
        <v>704</v>
      </c>
      <c r="J1609" s="215">
        <f>SUM(J1608)</f>
        <v>300000</v>
      </c>
      <c r="K1609" s="204"/>
      <c r="L1609" s="225">
        <f>SUM(J1608:K1608)</f>
        <v>300000</v>
      </c>
      <c r="M1609" s="1014"/>
    </row>
    <row r="1610" spans="1:16" x14ac:dyDescent="0.2">
      <c r="E1610" s="518"/>
      <c r="F1610" s="407"/>
      <c r="G1610" s="41"/>
      <c r="H1610" s="285"/>
      <c r="I1610" s="17"/>
      <c r="J1610" s="167"/>
      <c r="K1610" s="167"/>
      <c r="L1610" s="300"/>
    </row>
    <row r="1611" spans="1:16" x14ac:dyDescent="0.2">
      <c r="A1611" s="655"/>
      <c r="B1611" s="655"/>
      <c r="C1611" s="627"/>
      <c r="D1611" s="627">
        <v>2002</v>
      </c>
      <c r="E1611" s="554"/>
      <c r="F1611" s="638"/>
      <c r="G1611" s="628"/>
      <c r="H1611" s="696"/>
      <c r="I1611" s="630" t="s">
        <v>449</v>
      </c>
      <c r="J1611" s="631">
        <f>SUM(J1634+J1642)</f>
        <v>190674002</v>
      </c>
      <c r="K1611" s="707"/>
      <c r="L1611" s="659">
        <f>SUM(J1611:K1611)</f>
        <v>190674002</v>
      </c>
    </row>
    <row r="1612" spans="1:16" x14ac:dyDescent="0.2">
      <c r="D1612" s="43"/>
      <c r="E1612" s="518"/>
      <c r="F1612" s="284"/>
      <c r="G1612" s="294"/>
      <c r="H1612" s="284"/>
      <c r="I1612" s="239"/>
      <c r="J1612" s="27"/>
      <c r="K1612" s="28"/>
      <c r="L1612" s="53"/>
    </row>
    <row r="1613" spans="1:16" s="165" customFormat="1" x14ac:dyDescent="0.2">
      <c r="A1613" s="44"/>
      <c r="B1613" s="44"/>
      <c r="C1613" s="43"/>
      <c r="D1613" s="43"/>
      <c r="E1613" s="519" t="s">
        <v>230</v>
      </c>
      <c r="F1613" s="404"/>
      <c r="G1613" s="302"/>
      <c r="H1613" s="404"/>
      <c r="I1613" s="363" t="s">
        <v>272</v>
      </c>
      <c r="J1613" s="364"/>
      <c r="K1613" s="364"/>
      <c r="L1613" s="382"/>
      <c r="M1613" s="992"/>
      <c r="N1613" s="834"/>
      <c r="O1613" s="163"/>
      <c r="P1613" s="832"/>
    </row>
    <row r="1614" spans="1:16" ht="15" x14ac:dyDescent="0.25">
      <c r="D1614" s="43"/>
      <c r="E1614" s="519"/>
      <c r="F1614" s="404"/>
      <c r="G1614" s="302"/>
      <c r="H1614" s="434"/>
      <c r="I1614" s="365" t="s">
        <v>231</v>
      </c>
      <c r="J1614" s="366"/>
      <c r="K1614" s="366"/>
      <c r="L1614" s="369"/>
    </row>
    <row r="1615" spans="1:16" x14ac:dyDescent="0.2">
      <c r="C1615" s="463"/>
      <c r="D1615" s="43"/>
      <c r="E1615" s="518"/>
      <c r="F1615" s="284"/>
      <c r="G1615" s="41"/>
      <c r="H1615" s="285"/>
      <c r="I1615" s="26"/>
      <c r="J1615" s="28"/>
      <c r="K1615" s="28"/>
      <c r="L1615" s="68"/>
    </row>
    <row r="1616" spans="1:16" x14ac:dyDescent="0.2">
      <c r="C1616" s="43">
        <v>912</v>
      </c>
      <c r="D1616" s="43"/>
      <c r="E1616" s="518"/>
      <c r="F1616" s="284"/>
      <c r="G1616" s="41"/>
      <c r="H1616" s="285"/>
      <c r="I1616" s="260" t="s">
        <v>62</v>
      </c>
      <c r="J1616" s="67"/>
      <c r="K1616" s="67"/>
      <c r="L1616" s="192"/>
    </row>
    <row r="1617" spans="4:12" x14ac:dyDescent="0.2">
      <c r="D1617" s="43"/>
      <c r="E1617" s="518"/>
      <c r="F1617" s="284"/>
      <c r="G1617" s="41"/>
      <c r="H1617" s="285"/>
      <c r="I1617" s="206"/>
      <c r="J1617" s="28"/>
      <c r="K1617" s="28"/>
      <c r="L1617" s="68"/>
    </row>
    <row r="1618" spans="4:12" x14ac:dyDescent="0.2">
      <c r="D1618" s="43"/>
      <c r="E1618" s="518"/>
      <c r="F1618" s="284">
        <v>307</v>
      </c>
      <c r="G1618" s="41"/>
      <c r="H1618" s="284">
        <v>463</v>
      </c>
      <c r="I1618" s="243" t="s">
        <v>222</v>
      </c>
      <c r="J1618" s="52">
        <f>SUM(J1619:J1633)</f>
        <v>190674000</v>
      </c>
      <c r="K1618" s="52"/>
      <c r="L1618" s="52">
        <f>SUM(J1618:K1618)</f>
        <v>190674000</v>
      </c>
    </row>
    <row r="1619" spans="4:12" x14ac:dyDescent="0.2">
      <c r="D1619" s="43"/>
      <c r="E1619" s="518"/>
      <c r="F1619" s="284"/>
      <c r="G1619" s="41"/>
      <c r="H1619" s="285"/>
      <c r="I1619" s="194" t="s">
        <v>63</v>
      </c>
      <c r="J1619" s="51">
        <v>2170000</v>
      </c>
      <c r="K1619" s="51"/>
      <c r="L1619" s="52">
        <f t="shared" ref="L1619:L1634" si="93">SUM(J1619:K1619)</f>
        <v>2170000</v>
      </c>
    </row>
    <row r="1620" spans="4:12" x14ac:dyDescent="0.2">
      <c r="D1620" s="43"/>
      <c r="E1620" s="518"/>
      <c r="F1620" s="284"/>
      <c r="G1620" s="41"/>
      <c r="H1620" s="285"/>
      <c r="I1620" s="194" t="s">
        <v>64</v>
      </c>
      <c r="J1620" s="51">
        <v>3776000</v>
      </c>
      <c r="K1620" s="51"/>
      <c r="L1620" s="52">
        <f t="shared" si="93"/>
        <v>3776000</v>
      </c>
    </row>
    <row r="1621" spans="4:12" x14ac:dyDescent="0.2">
      <c r="D1621" s="43"/>
      <c r="E1621" s="518"/>
      <c r="F1621" s="284"/>
      <c r="G1621" s="41"/>
      <c r="H1621" s="285"/>
      <c r="I1621" s="194" t="s">
        <v>65</v>
      </c>
      <c r="J1621" s="51">
        <v>21200000</v>
      </c>
      <c r="K1621" s="51"/>
      <c r="L1621" s="52">
        <f t="shared" si="93"/>
        <v>21200000</v>
      </c>
    </row>
    <row r="1622" spans="4:12" x14ac:dyDescent="0.2">
      <c r="D1622" s="43"/>
      <c r="E1622" s="518"/>
      <c r="F1622" s="284"/>
      <c r="G1622" s="41"/>
      <c r="H1622" s="285"/>
      <c r="I1622" s="194" t="s">
        <v>66</v>
      </c>
      <c r="J1622" s="51">
        <v>6800000</v>
      </c>
      <c r="K1622" s="51"/>
      <c r="L1622" s="52">
        <f t="shared" si="93"/>
        <v>6800000</v>
      </c>
    </row>
    <row r="1623" spans="4:12" x14ac:dyDescent="0.2">
      <c r="D1623" s="43"/>
      <c r="E1623" s="518"/>
      <c r="F1623" s="284"/>
      <c r="G1623" s="41"/>
      <c r="H1623" s="285"/>
      <c r="I1623" s="243" t="s">
        <v>67</v>
      </c>
      <c r="J1623" s="51">
        <v>72953000</v>
      </c>
      <c r="K1623" s="51"/>
      <c r="L1623" s="52">
        <f t="shared" si="93"/>
        <v>72953000</v>
      </c>
    </row>
    <row r="1624" spans="4:12" x14ac:dyDescent="0.2">
      <c r="D1624" s="43"/>
      <c r="E1624" s="518"/>
      <c r="F1624" s="284"/>
      <c r="G1624" s="41"/>
      <c r="H1624" s="285"/>
      <c r="I1624" s="194" t="s">
        <v>68</v>
      </c>
      <c r="J1624" s="51">
        <v>3650000</v>
      </c>
      <c r="K1624" s="51"/>
      <c r="L1624" s="52">
        <f t="shared" si="93"/>
        <v>3650000</v>
      </c>
    </row>
    <row r="1625" spans="4:12" x14ac:dyDescent="0.2">
      <c r="D1625" s="43"/>
      <c r="E1625" s="518"/>
      <c r="F1625" s="284"/>
      <c r="G1625" s="41"/>
      <c r="H1625" s="284"/>
      <c r="I1625" s="194" t="s">
        <v>69</v>
      </c>
      <c r="J1625" s="51">
        <v>5740000</v>
      </c>
      <c r="K1625" s="51"/>
      <c r="L1625" s="52">
        <f t="shared" si="93"/>
        <v>5740000</v>
      </c>
    </row>
    <row r="1626" spans="4:12" x14ac:dyDescent="0.2">
      <c r="D1626" s="43"/>
      <c r="E1626" s="518"/>
      <c r="F1626" s="284"/>
      <c r="G1626" s="41"/>
      <c r="H1626" s="284"/>
      <c r="I1626" s="194" t="s">
        <v>70</v>
      </c>
      <c r="J1626" s="51">
        <v>4470000</v>
      </c>
      <c r="K1626" s="51"/>
      <c r="L1626" s="52">
        <f t="shared" si="93"/>
        <v>4470000</v>
      </c>
    </row>
    <row r="1627" spans="4:12" x14ac:dyDescent="0.2">
      <c r="D1627" s="43"/>
      <c r="E1627" s="518"/>
      <c r="F1627" s="284"/>
      <c r="G1627" s="41"/>
      <c r="H1627" s="284"/>
      <c r="I1627" s="194" t="s">
        <v>71</v>
      </c>
      <c r="J1627" s="51">
        <v>16450000</v>
      </c>
      <c r="K1627" s="51"/>
      <c r="L1627" s="52">
        <f t="shared" si="93"/>
        <v>16450000</v>
      </c>
    </row>
    <row r="1628" spans="4:12" x14ac:dyDescent="0.2">
      <c r="D1628" s="43"/>
      <c r="E1628" s="518"/>
      <c r="F1628" s="284"/>
      <c r="G1628" s="41"/>
      <c r="H1628" s="284"/>
      <c r="I1628" s="194" t="s">
        <v>72</v>
      </c>
      <c r="J1628" s="51">
        <v>11100000</v>
      </c>
      <c r="K1628" s="51"/>
      <c r="L1628" s="52">
        <f t="shared" si="93"/>
        <v>11100000</v>
      </c>
    </row>
    <row r="1629" spans="4:12" x14ac:dyDescent="0.2">
      <c r="D1629" s="43"/>
      <c r="E1629" s="518"/>
      <c r="F1629" s="284"/>
      <c r="G1629" s="41"/>
      <c r="H1629" s="285"/>
      <c r="I1629" s="194" t="s">
        <v>73</v>
      </c>
      <c r="J1629" s="51">
        <v>1190000</v>
      </c>
      <c r="K1629" s="51"/>
      <c r="L1629" s="52">
        <f t="shared" si="93"/>
        <v>1190000</v>
      </c>
    </row>
    <row r="1630" spans="4:12" x14ac:dyDescent="0.2">
      <c r="D1630" s="43"/>
      <c r="E1630" s="518"/>
      <c r="F1630" s="284"/>
      <c r="G1630" s="41"/>
      <c r="H1630" s="285"/>
      <c r="I1630" s="194" t="s">
        <v>218</v>
      </c>
      <c r="J1630" s="51">
        <v>3200000</v>
      </c>
      <c r="K1630" s="51"/>
      <c r="L1630" s="52">
        <f t="shared" si="93"/>
        <v>3200000</v>
      </c>
    </row>
    <row r="1631" spans="4:12" x14ac:dyDescent="0.2">
      <c r="D1631" s="43"/>
      <c r="E1631" s="518"/>
      <c r="F1631" s="284"/>
      <c r="G1631" s="41"/>
      <c r="H1631" s="286"/>
      <c r="I1631" s="194" t="s">
        <v>74</v>
      </c>
      <c r="J1631" s="51">
        <v>24450000</v>
      </c>
      <c r="K1631" s="51"/>
      <c r="L1631" s="52">
        <f t="shared" si="93"/>
        <v>24450000</v>
      </c>
    </row>
    <row r="1632" spans="4:12" ht="15" x14ac:dyDescent="0.25">
      <c r="E1632" s="518"/>
      <c r="F1632" s="284"/>
      <c r="G1632" s="41"/>
      <c r="H1632" s="288"/>
      <c r="I1632" s="194" t="s">
        <v>75</v>
      </c>
      <c r="J1632" s="51">
        <v>13175000</v>
      </c>
      <c r="K1632" s="51"/>
      <c r="L1632" s="52">
        <f t="shared" si="93"/>
        <v>13175000</v>
      </c>
    </row>
    <row r="1633" spans="1:14" x14ac:dyDescent="0.2">
      <c r="D1633" s="43"/>
      <c r="E1633" s="518"/>
      <c r="F1633" s="284"/>
      <c r="G1633" s="41"/>
      <c r="H1633" s="432"/>
      <c r="I1633" s="194" t="s">
        <v>77</v>
      </c>
      <c r="J1633" s="51">
        <v>350000</v>
      </c>
      <c r="K1633" s="51"/>
      <c r="L1633" s="52">
        <f t="shared" si="93"/>
        <v>350000</v>
      </c>
    </row>
    <row r="1634" spans="1:14" x14ac:dyDescent="0.2">
      <c r="D1634" s="43"/>
      <c r="E1634" s="518"/>
      <c r="F1634" s="284"/>
      <c r="G1634" s="41"/>
      <c r="H1634" s="285"/>
      <c r="I1634" s="202" t="s">
        <v>603</v>
      </c>
      <c r="J1634" s="52">
        <f>SUM(J1619:J1633)</f>
        <v>190674000</v>
      </c>
      <c r="K1634" s="52"/>
      <c r="L1634" s="52">
        <f t="shared" si="93"/>
        <v>190674000</v>
      </c>
      <c r="N1634" s="16"/>
    </row>
    <row r="1635" spans="1:14" ht="15" x14ac:dyDescent="0.25">
      <c r="D1635" s="43"/>
      <c r="E1635" s="518"/>
      <c r="F1635" s="406"/>
      <c r="G1635" s="41"/>
      <c r="H1635" s="288"/>
      <c r="I1635" s="26"/>
      <c r="J1635" s="333"/>
      <c r="K1635" s="333"/>
      <c r="L1635" s="334"/>
      <c r="N1635" s="16"/>
    </row>
    <row r="1636" spans="1:14" ht="15" x14ac:dyDescent="0.25">
      <c r="D1636" s="43"/>
      <c r="E1636" s="518"/>
      <c r="F1636" s="406"/>
      <c r="G1636" s="227" t="s">
        <v>37</v>
      </c>
      <c r="H1636" s="288"/>
      <c r="I1636" s="262" t="s">
        <v>38</v>
      </c>
      <c r="J1636" s="51">
        <f>SUM(J1634)</f>
        <v>190674000</v>
      </c>
      <c r="K1636" s="51"/>
      <c r="L1636" s="51">
        <f>SUM(L1634)</f>
        <v>190674000</v>
      </c>
      <c r="N1636" s="16"/>
    </row>
    <row r="1637" spans="1:14" ht="15" x14ac:dyDescent="0.25">
      <c r="D1637" s="43"/>
      <c r="E1637" s="518"/>
      <c r="F1637" s="284"/>
      <c r="G1637" s="203"/>
      <c r="H1637" s="288"/>
      <c r="I1637" s="17"/>
      <c r="J1637" s="27"/>
      <c r="K1637" s="27"/>
      <c r="L1637" s="53"/>
      <c r="M1637" s="1014"/>
      <c r="N1637" s="16"/>
    </row>
    <row r="1638" spans="1:14" ht="22.5" x14ac:dyDescent="0.2">
      <c r="C1638" s="43">
        <v>620</v>
      </c>
      <c r="D1638" s="43"/>
      <c r="E1638" s="520" t="s">
        <v>381</v>
      </c>
      <c r="F1638" s="358"/>
      <c r="G1638" s="307"/>
      <c r="H1638" s="360"/>
      <c r="I1638" s="312" t="s">
        <v>754</v>
      </c>
      <c r="J1638" s="71"/>
      <c r="K1638" s="71"/>
      <c r="L1638" s="233"/>
    </row>
    <row r="1639" spans="1:14" x14ac:dyDescent="0.2">
      <c r="D1639" s="43"/>
      <c r="E1639" s="518"/>
      <c r="F1639" s="284">
        <v>308</v>
      </c>
      <c r="G1639" s="41"/>
      <c r="H1639" s="285" t="s">
        <v>80</v>
      </c>
      <c r="I1639" s="279" t="s">
        <v>9</v>
      </c>
      <c r="J1639" s="51">
        <v>1</v>
      </c>
      <c r="K1639" s="51"/>
      <c r="L1639" s="51">
        <f>SUM(J1639:K1639)</f>
        <v>1</v>
      </c>
    </row>
    <row r="1640" spans="1:14" x14ac:dyDescent="0.2">
      <c r="D1640" s="43"/>
      <c r="E1640" s="518"/>
      <c r="F1640" s="284">
        <v>309</v>
      </c>
      <c r="G1640" s="41"/>
      <c r="H1640" s="284">
        <v>511</v>
      </c>
      <c r="I1640" s="194" t="s">
        <v>584</v>
      </c>
      <c r="J1640" s="51">
        <v>1</v>
      </c>
      <c r="K1640" s="52"/>
      <c r="L1640" s="51">
        <f t="shared" ref="L1640:L1641" si="94">SUM(J1640:K1640)</f>
        <v>1</v>
      </c>
    </row>
    <row r="1641" spans="1:14" x14ac:dyDescent="0.2">
      <c r="A1641" s="648"/>
      <c r="B1641" s="648"/>
      <c r="C1641" s="583"/>
      <c r="D1641" s="583"/>
      <c r="E1641" s="563"/>
      <c r="F1641" s="284"/>
      <c r="G1641" s="47" t="s">
        <v>37</v>
      </c>
      <c r="H1641" s="584"/>
      <c r="I1641" s="194" t="s">
        <v>38</v>
      </c>
      <c r="J1641" s="51">
        <f>SUM(J1639:J1640)</f>
        <v>2</v>
      </c>
      <c r="K1641" s="52"/>
      <c r="L1641" s="51">
        <f t="shared" si="94"/>
        <v>2</v>
      </c>
    </row>
    <row r="1642" spans="1:14" x14ac:dyDescent="0.2">
      <c r="E1642" s="518"/>
      <c r="F1642" s="406"/>
      <c r="G1642" s="41"/>
      <c r="H1642" s="285"/>
      <c r="I1642" s="202" t="s">
        <v>710</v>
      </c>
      <c r="J1642" s="52">
        <f>SUM(J1641)</f>
        <v>2</v>
      </c>
      <c r="K1642" s="52"/>
      <c r="L1642" s="52">
        <f>SUM(J1641:K1641)</f>
        <v>2</v>
      </c>
    </row>
    <row r="1643" spans="1:14" x14ac:dyDescent="0.2">
      <c r="E1643" s="518"/>
      <c r="F1643" s="407"/>
      <c r="G1643" s="203"/>
      <c r="H1643" s="285"/>
      <c r="I1643" s="17"/>
      <c r="J1643" s="167"/>
      <c r="K1643" s="167"/>
      <c r="L1643" s="300"/>
    </row>
    <row r="1644" spans="1:14" x14ac:dyDescent="0.2">
      <c r="A1644" s="655"/>
      <c r="B1644" s="655"/>
      <c r="C1644" s="627"/>
      <c r="D1644" s="627">
        <v>2003</v>
      </c>
      <c r="E1644" s="554"/>
      <c r="F1644" s="638"/>
      <c r="G1644" s="628"/>
      <c r="H1644" s="638"/>
      <c r="I1644" s="630" t="s">
        <v>448</v>
      </c>
      <c r="J1644" s="631">
        <f>SUM(J1667+J1680)</f>
        <v>65003651.049999997</v>
      </c>
      <c r="K1644" s="631"/>
      <c r="L1644" s="659">
        <f>SUM(J1644:K1644)</f>
        <v>65003651.049999997</v>
      </c>
    </row>
    <row r="1645" spans="1:14" x14ac:dyDescent="0.2">
      <c r="D1645" s="43"/>
      <c r="E1645" s="518"/>
      <c r="F1645" s="284"/>
      <c r="G1645" s="294"/>
      <c r="H1645" s="284"/>
      <c r="I1645" s="239"/>
      <c r="J1645" s="71"/>
      <c r="K1645" s="71"/>
      <c r="L1645" s="233"/>
    </row>
    <row r="1646" spans="1:14" x14ac:dyDescent="0.2">
      <c r="D1646" s="43"/>
      <c r="E1646" s="519" t="s">
        <v>232</v>
      </c>
      <c r="F1646" s="404"/>
      <c r="G1646" s="302"/>
      <c r="H1646" s="404"/>
      <c r="I1646" s="363" t="s">
        <v>272</v>
      </c>
      <c r="J1646" s="455"/>
      <c r="K1646" s="455"/>
      <c r="L1646" s="304"/>
    </row>
    <row r="1647" spans="1:14" ht="15" x14ac:dyDescent="0.25">
      <c r="A1647" s="476"/>
      <c r="B1647" s="43"/>
      <c r="D1647" s="43"/>
      <c r="E1647" s="519"/>
      <c r="F1647" s="404"/>
      <c r="G1647" s="302"/>
      <c r="H1647" s="434"/>
      <c r="I1647" s="365" t="s">
        <v>233</v>
      </c>
      <c r="J1647" s="447"/>
      <c r="K1647" s="447"/>
      <c r="L1647" s="367"/>
    </row>
    <row r="1648" spans="1:14" x14ac:dyDescent="0.2">
      <c r="A1648" s="476"/>
      <c r="B1648" s="43"/>
      <c r="D1648" s="43"/>
      <c r="E1648" s="518"/>
      <c r="F1648" s="284"/>
      <c r="G1648" s="41"/>
      <c r="H1648" s="284"/>
      <c r="I1648" s="206"/>
      <c r="J1648" s="28"/>
      <c r="K1648" s="28"/>
      <c r="L1648" s="68"/>
    </row>
    <row r="1649" spans="1:12" x14ac:dyDescent="0.2">
      <c r="A1649" s="476"/>
      <c r="B1649" s="43"/>
      <c r="C1649" s="43">
        <v>920</v>
      </c>
      <c r="D1649" s="476"/>
      <c r="E1649" s="518"/>
      <c r="F1649" s="284"/>
      <c r="G1649" s="41"/>
      <c r="H1649" s="284"/>
      <c r="I1649" s="260" t="s">
        <v>76</v>
      </c>
      <c r="J1649" s="67"/>
      <c r="K1649" s="67"/>
      <c r="L1649" s="192"/>
    </row>
    <row r="1650" spans="1:12" x14ac:dyDescent="0.2">
      <c r="A1650" s="476"/>
      <c r="B1650" s="43"/>
      <c r="D1650" s="476"/>
      <c r="E1650" s="518"/>
      <c r="F1650" s="284"/>
      <c r="G1650" s="41"/>
      <c r="H1650" s="284"/>
      <c r="I1650" s="698"/>
      <c r="J1650" s="699"/>
      <c r="K1650" s="699"/>
      <c r="L1650" s="700"/>
    </row>
    <row r="1651" spans="1:12" x14ac:dyDescent="0.2">
      <c r="A1651" s="476"/>
      <c r="B1651" s="43"/>
      <c r="D1651" s="476"/>
      <c r="E1651" s="518"/>
      <c r="F1651" s="284">
        <v>310</v>
      </c>
      <c r="G1651" s="41"/>
      <c r="H1651" s="284">
        <v>463</v>
      </c>
      <c r="I1651" s="243" t="s">
        <v>222</v>
      </c>
      <c r="J1651" s="52">
        <f>SUM(J1652:J1666)</f>
        <v>60120000</v>
      </c>
      <c r="K1651" s="52"/>
      <c r="L1651" s="52">
        <f t="shared" ref="L1651" si="95">SUM(L1652:L1666)</f>
        <v>60120000</v>
      </c>
    </row>
    <row r="1652" spans="1:12" x14ac:dyDescent="0.2">
      <c r="A1652" s="476"/>
      <c r="B1652" s="43"/>
      <c r="D1652" s="476"/>
      <c r="E1652" s="518"/>
      <c r="F1652" s="284"/>
      <c r="G1652" s="41"/>
      <c r="H1652" s="284"/>
      <c r="I1652" s="194" t="s">
        <v>63</v>
      </c>
      <c r="J1652" s="51">
        <v>530000</v>
      </c>
      <c r="K1652" s="51"/>
      <c r="L1652" s="51">
        <f t="shared" ref="L1652:L1666" si="96">SUM(J1652+K1652)</f>
        <v>530000</v>
      </c>
    </row>
    <row r="1653" spans="1:12" x14ac:dyDescent="0.2">
      <c r="A1653" s="476"/>
      <c r="B1653" s="43"/>
      <c r="D1653" s="476"/>
      <c r="E1653" s="518"/>
      <c r="F1653" s="284"/>
      <c r="G1653" s="41"/>
      <c r="H1653" s="284"/>
      <c r="I1653" s="194" t="s">
        <v>64</v>
      </c>
      <c r="J1653" s="51">
        <v>1360000</v>
      </c>
      <c r="K1653" s="51"/>
      <c r="L1653" s="51">
        <f t="shared" si="96"/>
        <v>1360000</v>
      </c>
    </row>
    <row r="1654" spans="1:12" x14ac:dyDescent="0.2">
      <c r="A1654" s="476"/>
      <c r="B1654" s="43"/>
      <c r="D1654" s="476"/>
      <c r="E1654" s="518"/>
      <c r="F1654" s="284"/>
      <c r="G1654" s="41"/>
      <c r="H1654" s="284"/>
      <c r="I1654" s="194" t="s">
        <v>65</v>
      </c>
      <c r="J1654" s="51">
        <v>8750000</v>
      </c>
      <c r="K1654" s="51"/>
      <c r="L1654" s="51">
        <f t="shared" si="96"/>
        <v>8750000</v>
      </c>
    </row>
    <row r="1655" spans="1:12" x14ac:dyDescent="0.2">
      <c r="A1655" s="476"/>
      <c r="B1655" s="43"/>
      <c r="D1655" s="476"/>
      <c r="E1655" s="518"/>
      <c r="F1655" s="284"/>
      <c r="G1655" s="41"/>
      <c r="H1655" s="284"/>
      <c r="I1655" s="194" t="s">
        <v>66</v>
      </c>
      <c r="J1655" s="51">
        <v>2200000</v>
      </c>
      <c r="K1655" s="51"/>
      <c r="L1655" s="51">
        <f t="shared" si="96"/>
        <v>2200000</v>
      </c>
    </row>
    <row r="1656" spans="1:12" x14ac:dyDescent="0.2">
      <c r="A1656" s="476"/>
      <c r="B1656" s="43"/>
      <c r="D1656" s="476"/>
      <c r="E1656" s="518"/>
      <c r="F1656" s="284"/>
      <c r="G1656" s="41"/>
      <c r="H1656" s="284"/>
      <c r="I1656" s="243" t="s">
        <v>67</v>
      </c>
      <c r="J1656" s="51">
        <v>18800000</v>
      </c>
      <c r="K1656" s="51"/>
      <c r="L1656" s="51">
        <f t="shared" si="96"/>
        <v>18800000</v>
      </c>
    </row>
    <row r="1657" spans="1:12" x14ac:dyDescent="0.2">
      <c r="A1657" s="476"/>
      <c r="B1657" s="43"/>
      <c r="D1657" s="476"/>
      <c r="E1657" s="518"/>
      <c r="F1657" s="284"/>
      <c r="G1657" s="41"/>
      <c r="H1657" s="284"/>
      <c r="I1657" s="194" t="s">
        <v>68</v>
      </c>
      <c r="J1657" s="51">
        <v>1250000</v>
      </c>
      <c r="K1657" s="51"/>
      <c r="L1657" s="51">
        <f t="shared" si="96"/>
        <v>1250000</v>
      </c>
    </row>
    <row r="1658" spans="1:12" x14ac:dyDescent="0.2">
      <c r="A1658" s="476"/>
      <c r="B1658" s="43"/>
      <c r="D1658" s="476"/>
      <c r="E1658" s="518"/>
      <c r="F1658" s="284"/>
      <c r="G1658" s="41"/>
      <c r="H1658" s="284"/>
      <c r="I1658" s="194" t="s">
        <v>69</v>
      </c>
      <c r="J1658" s="51">
        <v>4350000</v>
      </c>
      <c r="K1658" s="51"/>
      <c r="L1658" s="51">
        <f t="shared" si="96"/>
        <v>4350000</v>
      </c>
    </row>
    <row r="1659" spans="1:12" x14ac:dyDescent="0.2">
      <c r="A1659" s="476"/>
      <c r="B1659" s="43"/>
      <c r="D1659" s="476"/>
      <c r="E1659" s="518"/>
      <c r="F1659" s="284"/>
      <c r="G1659" s="41"/>
      <c r="H1659" s="284"/>
      <c r="I1659" s="194" t="s">
        <v>70</v>
      </c>
      <c r="J1659" s="51">
        <v>7950000</v>
      </c>
      <c r="K1659" s="51"/>
      <c r="L1659" s="51">
        <f t="shared" si="96"/>
        <v>7950000</v>
      </c>
    </row>
    <row r="1660" spans="1:12" x14ac:dyDescent="0.2">
      <c r="A1660" s="476"/>
      <c r="B1660" s="43"/>
      <c r="D1660" s="476"/>
      <c r="E1660" s="518"/>
      <c r="F1660" s="284"/>
      <c r="G1660" s="41"/>
      <c r="H1660" s="284"/>
      <c r="I1660" s="194" t="s">
        <v>71</v>
      </c>
      <c r="J1660" s="51">
        <v>4800000</v>
      </c>
      <c r="K1660" s="51"/>
      <c r="L1660" s="51">
        <f t="shared" si="96"/>
        <v>4800000</v>
      </c>
    </row>
    <row r="1661" spans="1:12" x14ac:dyDescent="0.2">
      <c r="A1661" s="476"/>
      <c r="B1661" s="43"/>
      <c r="D1661" s="476"/>
      <c r="E1661" s="518"/>
      <c r="F1661" s="284"/>
      <c r="G1661" s="41"/>
      <c r="H1661" s="284"/>
      <c r="I1661" s="194" t="s">
        <v>72</v>
      </c>
      <c r="J1661" s="51">
        <v>4300000</v>
      </c>
      <c r="K1661" s="51"/>
      <c r="L1661" s="51">
        <f t="shared" si="96"/>
        <v>4300000</v>
      </c>
    </row>
    <row r="1662" spans="1:12" x14ac:dyDescent="0.2">
      <c r="A1662" s="476"/>
      <c r="B1662" s="43"/>
      <c r="D1662" s="476"/>
      <c r="E1662" s="518"/>
      <c r="F1662" s="284"/>
      <c r="G1662" s="41"/>
      <c r="H1662" s="284"/>
      <c r="I1662" s="194" t="s">
        <v>73</v>
      </c>
      <c r="J1662" s="51">
        <v>360000</v>
      </c>
      <c r="K1662" s="51"/>
      <c r="L1662" s="51">
        <f t="shared" si="96"/>
        <v>360000</v>
      </c>
    </row>
    <row r="1663" spans="1:12" x14ac:dyDescent="0.2">
      <c r="A1663" s="476"/>
      <c r="B1663" s="43"/>
      <c r="D1663" s="476"/>
      <c r="E1663" s="518"/>
      <c r="F1663" s="284"/>
      <c r="G1663" s="41"/>
      <c r="H1663" s="284"/>
      <c r="I1663" s="194" t="s">
        <v>215</v>
      </c>
      <c r="J1663" s="51">
        <v>500000</v>
      </c>
      <c r="K1663" s="51"/>
      <c r="L1663" s="51">
        <f t="shared" si="96"/>
        <v>500000</v>
      </c>
    </row>
    <row r="1664" spans="1:12" x14ac:dyDescent="0.2">
      <c r="A1664" s="476"/>
      <c r="B1664" s="43"/>
      <c r="D1664" s="476"/>
      <c r="E1664" s="518"/>
      <c r="F1664" s="284"/>
      <c r="G1664" s="41"/>
      <c r="H1664" s="286"/>
      <c r="I1664" s="194" t="s">
        <v>74</v>
      </c>
      <c r="J1664" s="51">
        <v>700000</v>
      </c>
      <c r="K1664" s="51"/>
      <c r="L1664" s="51">
        <f t="shared" si="96"/>
        <v>700000</v>
      </c>
    </row>
    <row r="1665" spans="1:16" x14ac:dyDescent="0.2">
      <c r="E1665" s="518"/>
      <c r="F1665" s="284"/>
      <c r="G1665" s="41"/>
      <c r="H1665" s="286"/>
      <c r="I1665" s="194" t="s">
        <v>75</v>
      </c>
      <c r="J1665" s="51">
        <v>4100000</v>
      </c>
      <c r="K1665" s="51"/>
      <c r="L1665" s="51">
        <f t="shared" si="96"/>
        <v>4100000</v>
      </c>
    </row>
    <row r="1666" spans="1:16" x14ac:dyDescent="0.2">
      <c r="A1666" s="476"/>
      <c r="B1666" s="43"/>
      <c r="D1666" s="476"/>
      <c r="E1666" s="518"/>
      <c r="F1666" s="284"/>
      <c r="G1666" s="41"/>
      <c r="H1666" s="285"/>
      <c r="I1666" s="194" t="s">
        <v>77</v>
      </c>
      <c r="J1666" s="51">
        <v>170000</v>
      </c>
      <c r="K1666" s="51"/>
      <c r="L1666" s="51">
        <f t="shared" si="96"/>
        <v>170000</v>
      </c>
    </row>
    <row r="1667" spans="1:16" x14ac:dyDescent="0.2">
      <c r="A1667" s="476"/>
      <c r="B1667" s="43"/>
      <c r="D1667" s="476"/>
      <c r="E1667" s="518"/>
      <c r="F1667" s="284"/>
      <c r="G1667" s="41"/>
      <c r="H1667" s="284"/>
      <c r="I1667" s="202" t="s">
        <v>602</v>
      </c>
      <c r="J1667" s="52">
        <f>SUM(J1652:J1666)</f>
        <v>60120000</v>
      </c>
      <c r="K1667" s="52"/>
      <c r="L1667" s="52">
        <f>SUM(L1652:L1666)</f>
        <v>60120000</v>
      </c>
    </row>
    <row r="1668" spans="1:16" x14ac:dyDescent="0.2">
      <c r="C1668" s="463"/>
      <c r="D1668" s="463"/>
      <c r="E1668" s="523"/>
      <c r="F1668" s="284"/>
      <c r="G1668" s="41"/>
      <c r="H1668" s="285"/>
      <c r="I1668" s="26"/>
      <c r="J1668" s="333"/>
      <c r="K1668" s="333"/>
      <c r="L1668" s="334"/>
    </row>
    <row r="1669" spans="1:16" x14ac:dyDescent="0.2">
      <c r="A1669" s="476"/>
      <c r="B1669" s="43"/>
      <c r="C1669" s="463"/>
      <c r="D1669" s="463"/>
      <c r="E1669" s="523"/>
      <c r="F1669" s="284"/>
      <c r="G1669" s="47" t="s">
        <v>37</v>
      </c>
      <c r="H1669" s="285"/>
      <c r="I1669" s="194" t="s">
        <v>38</v>
      </c>
      <c r="J1669" s="51">
        <f>SUM(J1667)</f>
        <v>60120000</v>
      </c>
      <c r="K1669" s="51"/>
      <c r="L1669" s="51">
        <f>SUM(J1669+K1669)</f>
        <v>60120000</v>
      </c>
    </row>
    <row r="1670" spans="1:16" ht="15" x14ac:dyDescent="0.25">
      <c r="C1670" s="463"/>
      <c r="D1670" s="463"/>
      <c r="E1670" s="523"/>
      <c r="F1670" s="284"/>
      <c r="G1670" s="41"/>
      <c r="H1670" s="288"/>
      <c r="I1670" s="24"/>
      <c r="J1670" s="27"/>
      <c r="K1670" s="27"/>
      <c r="L1670" s="53"/>
      <c r="N1670" s="16"/>
    </row>
    <row r="1671" spans="1:16" ht="15" x14ac:dyDescent="0.2">
      <c r="C1671" s="43">
        <v>920</v>
      </c>
      <c r="D1671" s="43"/>
      <c r="E1671" s="518"/>
      <c r="F1671" s="284"/>
      <c r="G1671" s="41"/>
      <c r="H1671" s="284"/>
      <c r="I1671" s="260" t="s">
        <v>76</v>
      </c>
      <c r="J1671" s="705"/>
      <c r="K1671" s="705"/>
      <c r="L1671" s="706"/>
      <c r="M1671" s="1014"/>
    </row>
    <row r="1672" spans="1:16" x14ac:dyDescent="0.2">
      <c r="D1672" s="476"/>
      <c r="E1672" s="518"/>
      <c r="F1672" s="284"/>
      <c r="G1672" s="41"/>
      <c r="H1672" s="284"/>
      <c r="I1672" s="24"/>
      <c r="J1672" s="27"/>
      <c r="K1672" s="167"/>
      <c r="L1672" s="300"/>
      <c r="M1672" s="991"/>
    </row>
    <row r="1673" spans="1:16" ht="22.5" x14ac:dyDescent="0.2">
      <c r="D1673" s="43"/>
      <c r="E1673" s="520">
        <v>2003</v>
      </c>
      <c r="F1673" s="358"/>
      <c r="G1673" s="307"/>
      <c r="H1673" s="423"/>
      <c r="I1673" s="312" t="s">
        <v>808</v>
      </c>
      <c r="J1673" s="71"/>
      <c r="K1673" s="71"/>
      <c r="L1673" s="233"/>
    </row>
    <row r="1674" spans="1:16" x14ac:dyDescent="0.2">
      <c r="D1674" s="43"/>
      <c r="E1674" s="518"/>
      <c r="F1674" s="284">
        <v>311</v>
      </c>
      <c r="G1674" s="41"/>
      <c r="H1674" s="284">
        <v>463</v>
      </c>
      <c r="I1674" s="243" t="s">
        <v>222</v>
      </c>
      <c r="J1674" s="51">
        <f>SUM(J1675:J1676)</f>
        <v>4883651.05</v>
      </c>
      <c r="K1674" s="52"/>
      <c r="L1674" s="51">
        <f>SUM(J1674:K1674)</f>
        <v>4883651.05</v>
      </c>
    </row>
    <row r="1675" spans="1:16" s="165" customFormat="1" x14ac:dyDescent="0.2">
      <c r="A1675" s="44"/>
      <c r="B1675" s="44"/>
      <c r="C1675" s="43"/>
      <c r="D1675" s="43"/>
      <c r="E1675" s="518"/>
      <c r="F1675" s="284"/>
      <c r="G1675" s="41"/>
      <c r="H1675" s="285"/>
      <c r="I1675" s="194" t="s">
        <v>74</v>
      </c>
      <c r="J1675" s="51">
        <v>3706571.05</v>
      </c>
      <c r="K1675" s="52"/>
      <c r="L1675" s="51">
        <f t="shared" ref="L1675:L1679" si="97">SUM(J1675:K1675)</f>
        <v>3706571.05</v>
      </c>
      <c r="M1675" s="1014"/>
      <c r="N1675" s="834"/>
      <c r="O1675" s="163"/>
      <c r="P1675" s="832"/>
    </row>
    <row r="1676" spans="1:16" s="166" customFormat="1" x14ac:dyDescent="0.2">
      <c r="A1676" s="44"/>
      <c r="B1676" s="44"/>
      <c r="C1676" s="43"/>
      <c r="D1676" s="43"/>
      <c r="E1676" s="518"/>
      <c r="F1676" s="284"/>
      <c r="G1676" s="41"/>
      <c r="H1676" s="285"/>
      <c r="I1676" s="194" t="s">
        <v>75</v>
      </c>
      <c r="J1676" s="51">
        <v>1177080</v>
      </c>
      <c r="K1676" s="52"/>
      <c r="L1676" s="51">
        <f t="shared" si="97"/>
        <v>1177080</v>
      </c>
      <c r="M1676" s="992"/>
      <c r="N1676" s="826"/>
      <c r="O1676" s="164"/>
      <c r="P1676" s="143"/>
    </row>
    <row r="1677" spans="1:16" ht="15" x14ac:dyDescent="0.25">
      <c r="A1677" s="476"/>
      <c r="B1677" s="43"/>
      <c r="D1677" s="476"/>
      <c r="E1677" s="518"/>
      <c r="F1677" s="284"/>
      <c r="G1677" s="47" t="s">
        <v>37</v>
      </c>
      <c r="H1677" s="288"/>
      <c r="I1677" s="194" t="s">
        <v>38</v>
      </c>
      <c r="J1677" s="51">
        <f>SUM(J1680-J1679)</f>
        <v>1487790.25</v>
      </c>
      <c r="K1677" s="52"/>
      <c r="L1677" s="51">
        <f t="shared" si="97"/>
        <v>1487790.25</v>
      </c>
    </row>
    <row r="1678" spans="1:16" x14ac:dyDescent="0.2">
      <c r="A1678" s="582"/>
      <c r="B1678" s="583"/>
      <c r="C1678" s="583"/>
      <c r="D1678" s="562"/>
      <c r="E1678" s="563"/>
      <c r="F1678" s="284"/>
      <c r="G1678" s="47" t="s">
        <v>113</v>
      </c>
      <c r="H1678" s="584"/>
      <c r="I1678" s="194" t="s">
        <v>280</v>
      </c>
      <c r="J1678" s="51">
        <v>0</v>
      </c>
      <c r="K1678" s="52"/>
      <c r="L1678" s="51">
        <f t="shared" si="97"/>
        <v>0</v>
      </c>
    </row>
    <row r="1679" spans="1:16" x14ac:dyDescent="0.2">
      <c r="A1679" s="582"/>
      <c r="B1679" s="583"/>
      <c r="C1679" s="583"/>
      <c r="D1679" s="562"/>
      <c r="E1679" s="563"/>
      <c r="F1679" s="284"/>
      <c r="G1679" s="47" t="s">
        <v>1081</v>
      </c>
      <c r="H1679" s="584"/>
      <c r="I1679" s="194" t="s">
        <v>1082</v>
      </c>
      <c r="J1679" s="51">
        <v>3395860.8</v>
      </c>
      <c r="K1679" s="52"/>
      <c r="L1679" s="51">
        <f t="shared" si="97"/>
        <v>3395860.8</v>
      </c>
    </row>
    <row r="1680" spans="1:16" s="165" customFormat="1" ht="15" x14ac:dyDescent="0.25">
      <c r="A1680" s="468"/>
      <c r="B1680" s="468"/>
      <c r="C1680" s="472"/>
      <c r="D1680" s="468"/>
      <c r="E1680" s="524"/>
      <c r="F1680" s="284"/>
      <c r="G1680" s="41"/>
      <c r="H1680" s="285"/>
      <c r="I1680" s="202" t="s">
        <v>710</v>
      </c>
      <c r="J1680" s="52">
        <f>SUM(J1674)</f>
        <v>4883651.05</v>
      </c>
      <c r="K1680" s="52"/>
      <c r="L1680" s="52">
        <f>SUM(J1680:K1680)</f>
        <v>4883651.05</v>
      </c>
      <c r="M1680" s="992"/>
      <c r="N1680" s="834"/>
      <c r="O1680" s="163"/>
      <c r="P1680" s="832"/>
    </row>
    <row r="1681" spans="1:16" x14ac:dyDescent="0.2">
      <c r="A1681" s="582"/>
      <c r="B1681" s="583"/>
      <c r="C1681" s="583"/>
      <c r="D1681" s="562"/>
      <c r="E1681" s="563"/>
      <c r="F1681" s="407"/>
      <c r="G1681" s="41"/>
      <c r="H1681" s="286"/>
      <c r="I1681" s="261"/>
      <c r="J1681" s="71"/>
      <c r="K1681" s="71"/>
      <c r="L1681" s="233"/>
    </row>
    <row r="1682" spans="1:16" x14ac:dyDescent="0.2">
      <c r="A1682" s="626"/>
      <c r="B1682" s="627"/>
      <c r="C1682" s="627"/>
      <c r="D1682" s="553" t="s">
        <v>242</v>
      </c>
      <c r="E1682" s="554"/>
      <c r="F1682" s="638"/>
      <c r="G1682" s="628"/>
      <c r="H1682" s="629"/>
      <c r="I1682" s="630" t="s">
        <v>437</v>
      </c>
      <c r="J1682" s="631">
        <f>SUM(J1690+J1699+J1704+J1713+J1726+J1737+J1749+J1758+J1771+J1779+J1786+J1793+J1806+J1815+J1718)</f>
        <v>220210000</v>
      </c>
      <c r="K1682" s="631"/>
      <c r="L1682" s="631">
        <f>SUM(J1682:K1682)</f>
        <v>220210000</v>
      </c>
    </row>
    <row r="1683" spans="1:16" ht="15" customHeight="1" x14ac:dyDescent="0.2">
      <c r="A1683" s="476"/>
      <c r="B1683" s="43"/>
      <c r="C1683" s="463"/>
      <c r="D1683" s="463"/>
      <c r="E1683" s="523"/>
      <c r="F1683" s="407"/>
      <c r="G1683" s="294"/>
      <c r="H1683" s="432"/>
      <c r="I1683" s="239"/>
      <c r="J1683" s="71"/>
      <c r="K1683" s="71"/>
      <c r="L1683" s="233"/>
    </row>
    <row r="1684" spans="1:16" ht="14.25" customHeight="1" x14ac:dyDescent="0.2">
      <c r="A1684" s="550"/>
      <c r="B1684" s="401"/>
      <c r="C1684" s="463"/>
      <c r="D1684" s="463"/>
      <c r="E1684" s="522"/>
      <c r="F1684" s="404"/>
      <c r="G1684" s="302"/>
      <c r="H1684" s="419"/>
      <c r="I1684" s="363" t="s">
        <v>272</v>
      </c>
      <c r="J1684" s="364"/>
      <c r="K1684" s="364"/>
      <c r="L1684" s="382"/>
    </row>
    <row r="1685" spans="1:16" x14ac:dyDescent="0.2">
      <c r="A1685" s="476"/>
      <c r="B1685" s="401"/>
      <c r="D1685" s="43"/>
      <c r="E1685" s="519" t="s">
        <v>243</v>
      </c>
      <c r="F1685" s="404"/>
      <c r="G1685" s="302"/>
      <c r="H1685" s="404"/>
      <c r="I1685" s="365" t="s">
        <v>631</v>
      </c>
      <c r="J1685" s="366"/>
      <c r="K1685" s="366"/>
      <c r="L1685" s="369"/>
    </row>
    <row r="1686" spans="1:16" x14ac:dyDescent="0.2">
      <c r="A1686" s="476"/>
      <c r="B1686" s="401"/>
      <c r="C1686" s="401"/>
      <c r="D1686" s="401"/>
      <c r="E1686" s="521"/>
      <c r="F1686" s="406"/>
      <c r="G1686" s="203"/>
      <c r="H1686" s="284"/>
      <c r="I1686" s="17"/>
      <c r="J1686" s="28"/>
      <c r="K1686" s="28"/>
      <c r="L1686" s="68"/>
    </row>
    <row r="1687" spans="1:16" ht="15" x14ac:dyDescent="0.25">
      <c r="A1687" s="476"/>
      <c r="B1687" s="43"/>
      <c r="C1687" s="43">
        <v>160</v>
      </c>
      <c r="D1687" s="478"/>
      <c r="E1687" s="521"/>
      <c r="F1687" s="406"/>
      <c r="G1687" s="203"/>
      <c r="H1687" s="288"/>
      <c r="I1687" s="211" t="s">
        <v>288</v>
      </c>
      <c r="J1687" s="67"/>
      <c r="K1687" s="67"/>
      <c r="L1687" s="192"/>
    </row>
    <row r="1688" spans="1:16" x14ac:dyDescent="0.2">
      <c r="A1688" s="476"/>
      <c r="B1688" s="43"/>
      <c r="E1688" s="518"/>
      <c r="F1688" s="406"/>
      <c r="G1688" s="203"/>
      <c r="H1688" s="284"/>
      <c r="I1688" s="24"/>
      <c r="J1688" s="28"/>
      <c r="K1688" s="28"/>
      <c r="L1688" s="68"/>
    </row>
    <row r="1689" spans="1:16" x14ac:dyDescent="0.2">
      <c r="A1689" s="476"/>
      <c r="B1689" s="43"/>
      <c r="E1689" s="518"/>
      <c r="F1689" s="284">
        <v>312</v>
      </c>
      <c r="G1689" s="41"/>
      <c r="H1689" s="285" t="s">
        <v>220</v>
      </c>
      <c r="I1689" s="243" t="s">
        <v>305</v>
      </c>
      <c r="J1689" s="56">
        <v>16200000</v>
      </c>
      <c r="K1689" s="51"/>
      <c r="L1689" s="51">
        <f>SUM(J1689+K1689)</f>
        <v>16200000</v>
      </c>
    </row>
    <row r="1690" spans="1:16" x14ac:dyDescent="0.2">
      <c r="A1690" s="476"/>
      <c r="B1690" s="43"/>
      <c r="E1690" s="518"/>
      <c r="F1690" s="284"/>
      <c r="G1690" s="41"/>
      <c r="H1690" s="286"/>
      <c r="I1690" s="202" t="s">
        <v>606</v>
      </c>
      <c r="J1690" s="52">
        <f>SUM(J1689)</f>
        <v>16200000</v>
      </c>
      <c r="K1690" s="52"/>
      <c r="L1690" s="52">
        <f>SUM(L1689)</f>
        <v>16200000</v>
      </c>
    </row>
    <row r="1691" spans="1:16" ht="15" x14ac:dyDescent="0.2">
      <c r="A1691" s="476"/>
      <c r="B1691" s="43"/>
      <c r="C1691" s="646"/>
      <c r="E1691" s="518"/>
      <c r="F1691" s="284"/>
      <c r="G1691" s="47" t="s">
        <v>37</v>
      </c>
      <c r="H1691" s="313"/>
      <c r="I1691" s="57" t="s">
        <v>38</v>
      </c>
      <c r="J1691" s="52">
        <f>SUM(J1690)</f>
        <v>16200000</v>
      </c>
      <c r="K1691" s="52"/>
      <c r="L1691" s="52">
        <f>SUM(L1690)</f>
        <v>16200000</v>
      </c>
    </row>
    <row r="1692" spans="1:16" x14ac:dyDescent="0.2">
      <c r="A1692" s="476"/>
      <c r="B1692" s="43"/>
      <c r="E1692" s="518"/>
      <c r="F1692" s="284"/>
      <c r="G1692" s="41"/>
      <c r="H1692" s="285"/>
      <c r="I1692" s="17"/>
      <c r="J1692" s="28"/>
      <c r="K1692" s="28"/>
      <c r="L1692" s="28"/>
      <c r="M1692" s="1014"/>
    </row>
    <row r="1693" spans="1:16" x14ac:dyDescent="0.2">
      <c r="A1693" s="550"/>
      <c r="B1693" s="401"/>
      <c r="C1693" s="463"/>
      <c r="D1693" s="463"/>
      <c r="E1693" s="522"/>
      <c r="F1693" s="404"/>
      <c r="G1693" s="302"/>
      <c r="H1693" s="419"/>
      <c r="I1693" s="363" t="s">
        <v>275</v>
      </c>
      <c r="J1693" s="364"/>
      <c r="K1693" s="364"/>
      <c r="L1693" s="382"/>
      <c r="M1693" s="1014"/>
    </row>
    <row r="1694" spans="1:16" x14ac:dyDescent="0.2">
      <c r="A1694" s="476"/>
      <c r="B1694" s="43"/>
      <c r="E1694" s="519" t="s">
        <v>246</v>
      </c>
      <c r="F1694" s="404"/>
      <c r="G1694" s="302"/>
      <c r="H1694" s="404"/>
      <c r="I1694" s="365" t="s">
        <v>436</v>
      </c>
      <c r="J1694" s="366"/>
      <c r="K1694" s="366"/>
      <c r="L1694" s="369"/>
    </row>
    <row r="1695" spans="1:16" x14ac:dyDescent="0.2">
      <c r="A1695" s="476"/>
      <c r="B1695" s="43"/>
      <c r="C1695" s="401"/>
      <c r="D1695" s="334"/>
      <c r="E1695" s="521"/>
      <c r="F1695" s="406"/>
      <c r="G1695" s="203"/>
      <c r="H1695" s="284"/>
      <c r="I1695" s="17"/>
      <c r="J1695" s="28"/>
      <c r="K1695" s="28"/>
      <c r="L1695" s="68"/>
    </row>
    <row r="1696" spans="1:16" s="165" customFormat="1" ht="15" x14ac:dyDescent="0.25">
      <c r="A1696" s="476"/>
      <c r="B1696" s="43"/>
      <c r="C1696" s="43">
        <v>160</v>
      </c>
      <c r="D1696" s="476"/>
      <c r="E1696" s="518"/>
      <c r="F1696" s="284"/>
      <c r="G1696" s="41"/>
      <c r="H1696" s="288"/>
      <c r="I1696" s="211" t="s">
        <v>288</v>
      </c>
      <c r="J1696" s="299"/>
      <c r="K1696" s="67"/>
      <c r="L1696" s="192"/>
      <c r="M1696" s="992"/>
      <c r="N1696" s="834"/>
      <c r="O1696" s="163"/>
      <c r="P1696" s="832"/>
    </row>
    <row r="1697" spans="1:16" s="165" customFormat="1" x14ac:dyDescent="0.2">
      <c r="A1697" s="476"/>
      <c r="B1697" s="43"/>
      <c r="C1697" s="43"/>
      <c r="D1697" s="44"/>
      <c r="E1697" s="518"/>
      <c r="F1697" s="284"/>
      <c r="G1697" s="41"/>
      <c r="H1697" s="432"/>
      <c r="I1697" s="24"/>
      <c r="J1697" s="27"/>
      <c r="K1697" s="28"/>
      <c r="L1697" s="68"/>
      <c r="M1697" s="992"/>
      <c r="N1697" s="834"/>
      <c r="O1697" s="163"/>
      <c r="P1697" s="832"/>
    </row>
    <row r="1698" spans="1:16" x14ac:dyDescent="0.2">
      <c r="A1698" s="476"/>
      <c r="B1698" s="43"/>
      <c r="D1698" s="476"/>
      <c r="E1698" s="518"/>
      <c r="F1698" s="284">
        <v>313</v>
      </c>
      <c r="G1698" s="41"/>
      <c r="H1698" s="284">
        <v>481</v>
      </c>
      <c r="I1698" s="243" t="s">
        <v>43</v>
      </c>
      <c r="J1698" s="51">
        <v>4850000</v>
      </c>
      <c r="K1698" s="51"/>
      <c r="L1698" s="51">
        <f>SUM(J1698:K1698)</f>
        <v>4850000</v>
      </c>
    </row>
    <row r="1699" spans="1:16" x14ac:dyDescent="0.2">
      <c r="A1699" s="476"/>
      <c r="B1699" s="43"/>
      <c r="D1699" s="476"/>
      <c r="E1699" s="518"/>
      <c r="F1699" s="284"/>
      <c r="G1699" s="41"/>
      <c r="H1699" s="284"/>
      <c r="I1699" s="202" t="s">
        <v>593</v>
      </c>
      <c r="J1699" s="52">
        <f>SUM(J1698)</f>
        <v>4850000</v>
      </c>
      <c r="K1699" s="52"/>
      <c r="L1699" s="52">
        <f>SUM(L1698)</f>
        <v>4850000</v>
      </c>
    </row>
    <row r="1700" spans="1:16" s="173" customFormat="1" x14ac:dyDescent="0.2">
      <c r="A1700" s="476"/>
      <c r="B1700" s="43"/>
      <c r="C1700" s="43"/>
      <c r="D1700" s="476"/>
      <c r="E1700" s="518"/>
      <c r="F1700" s="284"/>
      <c r="G1700" s="47" t="s">
        <v>37</v>
      </c>
      <c r="H1700" s="284"/>
      <c r="I1700" s="57" t="s">
        <v>38</v>
      </c>
      <c r="J1700" s="52">
        <f>SUM(J1699)</f>
        <v>4850000</v>
      </c>
      <c r="K1700" s="52"/>
      <c r="L1700" s="52">
        <f>SUM(L1699)</f>
        <v>4850000</v>
      </c>
      <c r="M1700" s="992"/>
      <c r="N1700" s="462"/>
      <c r="O1700" s="25"/>
      <c r="P1700" s="827"/>
    </row>
    <row r="1701" spans="1:16" ht="15" x14ac:dyDescent="0.25">
      <c r="A1701" s="476"/>
      <c r="B1701" s="43"/>
      <c r="D1701" s="476"/>
      <c r="E1701" s="518"/>
      <c r="F1701" s="284"/>
      <c r="G1701" s="41"/>
      <c r="H1701" s="288"/>
      <c r="I1701" s="17"/>
      <c r="J1701" s="167"/>
      <c r="K1701" s="167"/>
      <c r="L1701" s="300"/>
    </row>
    <row r="1702" spans="1:16" x14ac:dyDescent="0.2">
      <c r="A1702" s="476"/>
      <c r="B1702" s="43"/>
      <c r="D1702" s="476"/>
      <c r="E1702" s="520" t="s">
        <v>242</v>
      </c>
      <c r="F1702" s="358"/>
      <c r="G1702" s="307"/>
      <c r="H1702" s="360"/>
      <c r="I1702" s="452" t="s">
        <v>807</v>
      </c>
      <c r="J1702" s="299"/>
      <c r="K1702" s="299"/>
      <c r="L1702" s="49"/>
    </row>
    <row r="1703" spans="1:16" x14ac:dyDescent="0.2">
      <c r="A1703" s="476"/>
      <c r="B1703" s="43"/>
      <c r="D1703" s="476"/>
      <c r="E1703" s="518"/>
      <c r="F1703" s="284">
        <v>314</v>
      </c>
      <c r="G1703" s="41"/>
      <c r="H1703" s="285" t="s">
        <v>415</v>
      </c>
      <c r="I1703" s="194" t="s">
        <v>653</v>
      </c>
      <c r="J1703" s="56">
        <v>1000000</v>
      </c>
      <c r="K1703" s="52"/>
      <c r="L1703" s="51">
        <f>SUM(J1703+K1703)</f>
        <v>1000000</v>
      </c>
    </row>
    <row r="1704" spans="1:16" x14ac:dyDescent="0.2">
      <c r="A1704" s="476"/>
      <c r="B1704" s="43"/>
      <c r="D1704" s="476"/>
      <c r="E1704" s="518"/>
      <c r="F1704" s="284"/>
      <c r="G1704" s="41"/>
      <c r="H1704" s="286"/>
      <c r="I1704" s="208" t="s">
        <v>710</v>
      </c>
      <c r="J1704" s="52">
        <f>SUM(J1703)</f>
        <v>1000000</v>
      </c>
      <c r="K1704" s="52"/>
      <c r="L1704" s="52">
        <f>SUM(L1703)</f>
        <v>1000000</v>
      </c>
    </row>
    <row r="1705" spans="1:16" x14ac:dyDescent="0.2">
      <c r="A1705" s="476"/>
      <c r="B1705" s="43"/>
      <c r="D1705" s="43"/>
      <c r="E1705" s="518"/>
      <c r="F1705" s="284"/>
      <c r="G1705" s="47" t="s">
        <v>37</v>
      </c>
      <c r="H1705" s="284"/>
      <c r="I1705" s="57" t="s">
        <v>38</v>
      </c>
      <c r="J1705" s="52">
        <f>SUM(J1704)</f>
        <v>1000000</v>
      </c>
      <c r="K1705" s="52"/>
      <c r="L1705" s="52">
        <f>SUM(J1705+K1705)</f>
        <v>1000000</v>
      </c>
    </row>
    <row r="1706" spans="1:16" x14ac:dyDescent="0.2">
      <c r="B1706" s="43"/>
      <c r="C1706" s="633"/>
      <c r="D1706" s="633"/>
      <c r="E1706" s="518"/>
      <c r="F1706" s="284"/>
      <c r="G1706" s="294"/>
      <c r="H1706" s="284"/>
      <c r="I1706" s="239"/>
      <c r="J1706" s="71"/>
      <c r="K1706" s="109"/>
      <c r="L1706" s="233"/>
    </row>
    <row r="1707" spans="1:16" x14ac:dyDescent="0.2">
      <c r="A1707" s="43"/>
      <c r="B1707" s="43"/>
      <c r="C1707" s="633"/>
      <c r="D1707" s="633"/>
      <c r="E1707" s="519"/>
      <c r="F1707" s="404"/>
      <c r="G1707" s="302"/>
      <c r="H1707" s="404"/>
      <c r="I1707" s="363" t="s">
        <v>272</v>
      </c>
      <c r="J1707" s="364"/>
      <c r="K1707" s="364"/>
      <c r="L1707" s="304"/>
    </row>
    <row r="1708" spans="1:16" x14ac:dyDescent="0.2">
      <c r="A1708" s="43"/>
      <c r="B1708" s="43"/>
      <c r="D1708" s="43"/>
      <c r="E1708" s="519" t="s">
        <v>243</v>
      </c>
      <c r="F1708" s="404"/>
      <c r="G1708" s="302"/>
      <c r="H1708" s="404"/>
      <c r="I1708" s="365" t="s">
        <v>631</v>
      </c>
      <c r="J1708" s="366"/>
      <c r="K1708" s="366"/>
      <c r="L1708" s="367"/>
    </row>
    <row r="1709" spans="1:16" x14ac:dyDescent="0.2">
      <c r="A1709" s="43"/>
      <c r="B1709" s="43"/>
      <c r="C1709" s="633"/>
      <c r="D1709" s="633"/>
      <c r="E1709" s="518"/>
      <c r="F1709" s="285"/>
      <c r="G1709" s="41"/>
      <c r="H1709" s="286"/>
      <c r="I1709" s="24"/>
      <c r="J1709" s="28"/>
      <c r="K1709" s="28"/>
      <c r="L1709" s="68"/>
      <c r="N1709" s="25"/>
    </row>
    <row r="1710" spans="1:16" ht="15" x14ac:dyDescent="0.25">
      <c r="A1710" s="43"/>
      <c r="B1710" s="43"/>
      <c r="C1710" s="633" t="s">
        <v>86</v>
      </c>
      <c r="D1710" s="633"/>
      <c r="E1710" s="518"/>
      <c r="F1710" s="284"/>
      <c r="G1710" s="47"/>
      <c r="H1710" s="288"/>
      <c r="I1710" s="249" t="s">
        <v>87</v>
      </c>
      <c r="J1710" s="109"/>
      <c r="K1710" s="109"/>
      <c r="L1710" s="205"/>
      <c r="N1710" s="25"/>
    </row>
    <row r="1711" spans="1:16" x14ac:dyDescent="0.2">
      <c r="A1711" s="476"/>
      <c r="B1711" s="43"/>
      <c r="D1711" s="476"/>
      <c r="E1711" s="518"/>
      <c r="F1711" s="284">
        <v>315</v>
      </c>
      <c r="G1711" s="41"/>
      <c r="H1711" s="285" t="s">
        <v>717</v>
      </c>
      <c r="I1711" s="194" t="s">
        <v>296</v>
      </c>
      <c r="J1711" s="56">
        <v>12545000</v>
      </c>
      <c r="K1711" s="51"/>
      <c r="L1711" s="51">
        <f>SUM(J1711+K1711)</f>
        <v>12545000</v>
      </c>
      <c r="M1711" s="1002"/>
      <c r="N1711" s="25"/>
    </row>
    <row r="1712" spans="1:16" ht="22.5" x14ac:dyDescent="0.2">
      <c r="A1712" s="476"/>
      <c r="B1712" s="43"/>
      <c r="D1712" s="476"/>
      <c r="E1712" s="518"/>
      <c r="F1712" s="284">
        <v>316</v>
      </c>
      <c r="G1712" s="41"/>
      <c r="H1712" s="285" t="s">
        <v>415</v>
      </c>
      <c r="I1712" s="246" t="s">
        <v>643</v>
      </c>
      <c r="J1712" s="56">
        <v>31750000</v>
      </c>
      <c r="K1712" s="51"/>
      <c r="L1712" s="51">
        <f>SUM(J1712+K1712)</f>
        <v>31750000</v>
      </c>
      <c r="M1712" s="1002"/>
      <c r="N1712" s="462"/>
    </row>
    <row r="1713" spans="1:16" x14ac:dyDescent="0.2">
      <c r="A1713" s="476"/>
      <c r="B1713" s="43"/>
      <c r="D1713" s="476"/>
      <c r="E1713" s="518"/>
      <c r="F1713" s="284"/>
      <c r="G1713" s="293"/>
      <c r="H1713" s="286"/>
      <c r="I1713" s="202" t="s">
        <v>606</v>
      </c>
      <c r="J1713" s="48">
        <f>J1711+J1712</f>
        <v>44295000</v>
      </c>
      <c r="K1713" s="48"/>
      <c r="L1713" s="48">
        <f>SUM(L1711:L1712)</f>
        <v>44295000</v>
      </c>
      <c r="M1713" s="1002"/>
      <c r="N1713" s="462"/>
    </row>
    <row r="1714" spans="1:16" x14ac:dyDescent="0.2">
      <c r="A1714" s="476"/>
      <c r="B1714" s="43"/>
      <c r="D1714" s="476"/>
      <c r="E1714" s="518"/>
      <c r="F1714" s="284"/>
      <c r="G1714" s="47" t="s">
        <v>37</v>
      </c>
      <c r="H1714" s="286"/>
      <c r="I1714" s="194" t="s">
        <v>38</v>
      </c>
      <c r="J1714" s="51">
        <f>SUM(J1713)</f>
        <v>44295000</v>
      </c>
      <c r="K1714" s="51"/>
      <c r="L1714" s="51">
        <f>SUM(J1714+K1714)</f>
        <v>44295000</v>
      </c>
      <c r="M1714" s="1002"/>
      <c r="N1714" s="462"/>
    </row>
    <row r="1715" spans="1:16" x14ac:dyDescent="0.2">
      <c r="A1715" s="476"/>
      <c r="B1715" s="43"/>
      <c r="D1715" s="476"/>
      <c r="E1715" s="518"/>
      <c r="F1715" s="284"/>
      <c r="G1715" s="41"/>
      <c r="H1715" s="285"/>
      <c r="I1715" s="246"/>
      <c r="J1715" s="56"/>
      <c r="K1715" s="51"/>
      <c r="L1715" s="51"/>
      <c r="M1715" s="1002"/>
      <c r="N1715" s="462"/>
    </row>
    <row r="1716" spans="1:16" ht="22.5" x14ac:dyDescent="0.2">
      <c r="A1716" s="476"/>
      <c r="B1716" s="43"/>
      <c r="D1716" s="476"/>
      <c r="E1716" s="520" t="s">
        <v>242</v>
      </c>
      <c r="F1716" s="358"/>
      <c r="G1716" s="307"/>
      <c r="H1716" s="360"/>
      <c r="I1716" s="312" t="s">
        <v>708</v>
      </c>
      <c r="J1716" s="56"/>
      <c r="K1716" s="51"/>
      <c r="L1716" s="51"/>
      <c r="M1716" s="1002"/>
      <c r="N1716" s="462"/>
    </row>
    <row r="1717" spans="1:16" ht="22.5" x14ac:dyDescent="0.2">
      <c r="A1717" s="476"/>
      <c r="B1717" s="43"/>
      <c r="D1717" s="476"/>
      <c r="E1717" s="518"/>
      <c r="F1717" s="284" t="s">
        <v>966</v>
      </c>
      <c r="G1717" s="41"/>
      <c r="H1717" s="285" t="s">
        <v>415</v>
      </c>
      <c r="I1717" s="246" t="s">
        <v>959</v>
      </c>
      <c r="J1717" s="56">
        <v>16370000</v>
      </c>
      <c r="K1717" s="51"/>
      <c r="L1717" s="51">
        <f>SUM(J1717:K1717)</f>
        <v>16370000</v>
      </c>
      <c r="M1717" s="1002"/>
      <c r="N1717" s="462"/>
    </row>
    <row r="1718" spans="1:16" x14ac:dyDescent="0.2">
      <c r="A1718" s="476"/>
      <c r="B1718" s="43"/>
      <c r="D1718" s="476"/>
      <c r="E1718" s="518"/>
      <c r="F1718" s="284"/>
      <c r="G1718" s="41"/>
      <c r="H1718" s="286"/>
      <c r="I1718" s="208" t="s">
        <v>710</v>
      </c>
      <c r="J1718" s="52">
        <f>SUM(J1717)</f>
        <v>16370000</v>
      </c>
      <c r="K1718" s="52"/>
      <c r="L1718" s="52">
        <f>SUM(L1717)</f>
        <v>16370000</v>
      </c>
      <c r="M1718" s="1002"/>
      <c r="N1718" s="462"/>
    </row>
    <row r="1719" spans="1:16" x14ac:dyDescent="0.2">
      <c r="A1719" s="476"/>
      <c r="B1719" s="43"/>
      <c r="D1719" s="476"/>
      <c r="E1719" s="518"/>
      <c r="F1719" s="283"/>
      <c r="G1719" s="47" t="s">
        <v>37</v>
      </c>
      <c r="H1719" s="284"/>
      <c r="I1719" s="57" t="s">
        <v>38</v>
      </c>
      <c r="J1719" s="46">
        <f>SUM(J1718)</f>
        <v>16370000</v>
      </c>
      <c r="K1719" s="52"/>
      <c r="L1719" s="46">
        <f>SUM(J1719+K1719)</f>
        <v>16370000</v>
      </c>
      <c r="M1719" s="1002"/>
      <c r="N1719" s="462"/>
    </row>
    <row r="1720" spans="1:16" x14ac:dyDescent="0.2">
      <c r="A1720" s="43"/>
      <c r="B1720" s="43"/>
      <c r="C1720" s="463"/>
      <c r="D1720" s="463"/>
      <c r="E1720" s="523"/>
      <c r="F1720" s="284"/>
      <c r="G1720" s="41"/>
      <c r="H1720" s="284"/>
      <c r="I1720" s="815"/>
      <c r="J1720" s="174"/>
      <c r="K1720" s="46"/>
      <c r="L1720" s="174"/>
      <c r="M1720" s="1003"/>
      <c r="N1720" s="462"/>
    </row>
    <row r="1721" spans="1:16" ht="15" x14ac:dyDescent="0.25">
      <c r="A1721" s="43"/>
      <c r="B1721" s="43"/>
      <c r="C1721" s="463"/>
      <c r="D1721" s="463"/>
      <c r="E1721" s="522"/>
      <c r="F1721" s="404"/>
      <c r="G1721" s="302"/>
      <c r="H1721" s="434"/>
      <c r="I1721" s="363" t="s">
        <v>272</v>
      </c>
      <c r="J1721" s="364"/>
      <c r="K1721" s="364"/>
      <c r="L1721" s="304"/>
      <c r="M1721" s="991"/>
    </row>
    <row r="1722" spans="1:16" x14ac:dyDescent="0.2">
      <c r="A1722" s="43"/>
      <c r="B1722" s="43"/>
      <c r="C1722" s="633"/>
      <c r="D1722" s="43"/>
      <c r="E1722" s="519" t="s">
        <v>243</v>
      </c>
      <c r="F1722" s="404"/>
      <c r="G1722" s="302"/>
      <c r="H1722" s="404"/>
      <c r="I1722" s="365" t="s">
        <v>631</v>
      </c>
      <c r="J1722" s="366"/>
      <c r="K1722" s="366"/>
      <c r="L1722" s="369"/>
    </row>
    <row r="1723" spans="1:16" ht="15" x14ac:dyDescent="0.25">
      <c r="A1723" s="43"/>
      <c r="B1723" s="43"/>
      <c r="C1723" s="633"/>
      <c r="D1723" s="43"/>
      <c r="E1723" s="518"/>
      <c r="F1723" s="284"/>
      <c r="G1723" s="41"/>
      <c r="H1723" s="288"/>
      <c r="I1723" s="24"/>
      <c r="J1723" s="28"/>
      <c r="K1723" s="28"/>
      <c r="L1723" s="68"/>
    </row>
    <row r="1724" spans="1:16" x14ac:dyDescent="0.2">
      <c r="A1724" s="476"/>
      <c r="B1724" s="43"/>
      <c r="C1724" s="633" t="s">
        <v>88</v>
      </c>
      <c r="D1724" s="633"/>
      <c r="E1724" s="518"/>
      <c r="F1724" s="284">
        <v>317</v>
      </c>
      <c r="G1724" s="41"/>
      <c r="H1724" s="285"/>
      <c r="I1724" s="249" t="s">
        <v>89</v>
      </c>
      <c r="J1724" s="109"/>
      <c r="K1724" s="109"/>
      <c r="L1724" s="205"/>
      <c r="M1724" s="1014"/>
    </row>
    <row r="1725" spans="1:16" x14ac:dyDescent="0.2">
      <c r="A1725" s="476"/>
      <c r="B1725" s="43"/>
      <c r="D1725" s="476"/>
      <c r="E1725" s="518"/>
      <c r="F1725" s="284"/>
      <c r="G1725" s="41"/>
      <c r="H1725" s="284">
        <v>472</v>
      </c>
      <c r="I1725" s="194" t="s">
        <v>90</v>
      </c>
      <c r="J1725" s="56">
        <v>200000</v>
      </c>
      <c r="K1725" s="51"/>
      <c r="L1725" s="51">
        <f>SUM(J1725+K1725)</f>
        <v>200000</v>
      </c>
    </row>
    <row r="1726" spans="1:16" x14ac:dyDescent="0.2">
      <c r="A1726" s="476"/>
      <c r="B1726" s="43"/>
      <c r="D1726" s="476"/>
      <c r="E1726" s="518"/>
      <c r="F1726" s="284"/>
      <c r="G1726" s="41"/>
      <c r="H1726" s="286"/>
      <c r="I1726" s="202" t="s">
        <v>606</v>
      </c>
      <c r="J1726" s="52">
        <f>SUM(J1725)</f>
        <v>200000</v>
      </c>
      <c r="K1726" s="51"/>
      <c r="L1726" s="52">
        <f>SUM(J1726+K1726)</f>
        <v>200000</v>
      </c>
    </row>
    <row r="1727" spans="1:16" x14ac:dyDescent="0.2">
      <c r="A1727" s="476"/>
      <c r="B1727" s="43"/>
      <c r="C1727" s="463"/>
      <c r="D1727" s="463"/>
      <c r="E1727" s="523"/>
      <c r="F1727" s="284"/>
      <c r="G1727" s="47" t="s">
        <v>37</v>
      </c>
      <c r="H1727" s="286"/>
      <c r="I1727" s="194" t="s">
        <v>38</v>
      </c>
      <c r="J1727" s="51">
        <f>SUM(J1726)</f>
        <v>200000</v>
      </c>
      <c r="K1727" s="51"/>
      <c r="L1727" s="51">
        <f>SUM(J1727+K1727)</f>
        <v>200000</v>
      </c>
    </row>
    <row r="1728" spans="1:16" s="165" customFormat="1" x14ac:dyDescent="0.2">
      <c r="A1728" s="476"/>
      <c r="B1728" s="43"/>
      <c r="C1728" s="468"/>
      <c r="D1728" s="468"/>
      <c r="E1728" s="524"/>
      <c r="F1728" s="284"/>
      <c r="G1728" s="41"/>
      <c r="H1728" s="284"/>
      <c r="I1728" s="24"/>
      <c r="J1728" s="27"/>
      <c r="K1728" s="27"/>
      <c r="L1728" s="53"/>
      <c r="M1728" s="992"/>
      <c r="N1728" s="834"/>
      <c r="O1728" s="163"/>
      <c r="P1728" s="832"/>
    </row>
    <row r="1729" spans="1:12" x14ac:dyDescent="0.2">
      <c r="A1729" s="476"/>
      <c r="B1729" s="43"/>
      <c r="C1729" s="463"/>
      <c r="D1729" s="463"/>
      <c r="E1729" s="522"/>
      <c r="F1729" s="404"/>
      <c r="G1729" s="302"/>
      <c r="H1729" s="404"/>
      <c r="I1729" s="363" t="s">
        <v>272</v>
      </c>
      <c r="J1729" s="364"/>
      <c r="K1729" s="364"/>
      <c r="L1729" s="304"/>
    </row>
    <row r="1730" spans="1:12" x14ac:dyDescent="0.2">
      <c r="A1730" s="43"/>
      <c r="B1730" s="43"/>
      <c r="D1730" s="43"/>
      <c r="E1730" s="519" t="s">
        <v>243</v>
      </c>
      <c r="F1730" s="404"/>
      <c r="G1730" s="302"/>
      <c r="H1730" s="404"/>
      <c r="I1730" s="365" t="s">
        <v>631</v>
      </c>
      <c r="J1730" s="366"/>
      <c r="K1730" s="366"/>
      <c r="L1730" s="367"/>
    </row>
    <row r="1731" spans="1:12" ht="15" x14ac:dyDescent="0.25">
      <c r="A1731" s="43"/>
      <c r="B1731" s="43"/>
      <c r="D1731" s="43"/>
      <c r="E1731" s="518"/>
      <c r="F1731" s="284"/>
      <c r="G1731" s="41"/>
      <c r="H1731" s="288"/>
      <c r="I1731" s="24"/>
      <c r="J1731" s="28"/>
      <c r="K1731" s="28"/>
      <c r="L1731" s="53"/>
    </row>
    <row r="1732" spans="1:12" ht="15" x14ac:dyDescent="0.25">
      <c r="A1732" s="43"/>
      <c r="B1732" s="43"/>
      <c r="C1732" s="633" t="s">
        <v>91</v>
      </c>
      <c r="D1732" s="633"/>
      <c r="E1732" s="518"/>
      <c r="F1732" s="284"/>
      <c r="G1732" s="41"/>
      <c r="H1732" s="288"/>
      <c r="I1732" s="252" t="s">
        <v>92</v>
      </c>
      <c r="J1732" s="109"/>
      <c r="K1732" s="109"/>
      <c r="L1732" s="233"/>
    </row>
    <row r="1733" spans="1:12" x14ac:dyDescent="0.2">
      <c r="A1733" s="43"/>
      <c r="B1733" s="43"/>
      <c r="C1733" s="633"/>
      <c r="D1733" s="633"/>
      <c r="E1733" s="518"/>
      <c r="F1733" s="284"/>
      <c r="G1733" s="41"/>
      <c r="H1733" s="286"/>
      <c r="I1733" s="698" t="s">
        <v>93</v>
      </c>
      <c r="J1733" s="580"/>
      <c r="K1733" s="580"/>
      <c r="L1733" s="708"/>
    </row>
    <row r="1734" spans="1:12" ht="15" x14ac:dyDescent="0.25">
      <c r="A1734" s="43"/>
      <c r="B1734" s="43"/>
      <c r="C1734" s="646"/>
      <c r="D1734" s="645"/>
      <c r="E1734" s="647"/>
      <c r="F1734" s="284"/>
      <c r="G1734" s="41"/>
      <c r="H1734" s="288"/>
      <c r="I1734" s="206"/>
      <c r="J1734" s="223"/>
      <c r="K1734" s="223"/>
      <c r="L1734" s="224"/>
    </row>
    <row r="1735" spans="1:12" x14ac:dyDescent="0.2">
      <c r="A1735" s="476"/>
      <c r="B1735" s="43"/>
      <c r="D1735" s="476"/>
      <c r="E1735" s="518"/>
      <c r="F1735" s="284">
        <v>318</v>
      </c>
      <c r="G1735" s="41"/>
      <c r="H1735" s="284">
        <v>472</v>
      </c>
      <c r="I1735" s="245" t="s">
        <v>297</v>
      </c>
      <c r="J1735" s="56">
        <v>1300000</v>
      </c>
      <c r="K1735" s="51"/>
      <c r="L1735" s="51">
        <f>SUM(J1735+K1735)</f>
        <v>1300000</v>
      </c>
    </row>
    <row r="1736" spans="1:12" ht="22.5" x14ac:dyDescent="0.2">
      <c r="A1736" s="476"/>
      <c r="B1736" s="43"/>
      <c r="D1736" s="476"/>
      <c r="E1736" s="518"/>
      <c r="F1736" s="284">
        <v>319</v>
      </c>
      <c r="G1736" s="41"/>
      <c r="H1736" s="284">
        <v>472</v>
      </c>
      <c r="I1736" s="245" t="s">
        <v>298</v>
      </c>
      <c r="J1736" s="56">
        <v>49760000</v>
      </c>
      <c r="K1736" s="51"/>
      <c r="L1736" s="51">
        <f>SUM(J1736+K1736)</f>
        <v>49760000</v>
      </c>
    </row>
    <row r="1737" spans="1:12" x14ac:dyDescent="0.2">
      <c r="A1737" s="476"/>
      <c r="B1737" s="43"/>
      <c r="D1737" s="476"/>
      <c r="E1737" s="518"/>
      <c r="F1737" s="284"/>
      <c r="G1737" s="293"/>
      <c r="H1737" s="286"/>
      <c r="I1737" s="202" t="s">
        <v>606</v>
      </c>
      <c r="J1737" s="52">
        <f>SUM(J1735:J1736)</f>
        <v>51060000</v>
      </c>
      <c r="K1737" s="52"/>
      <c r="L1737" s="52">
        <f>SUM(L1735:L1736)</f>
        <v>51060000</v>
      </c>
    </row>
    <row r="1738" spans="1:12" x14ac:dyDescent="0.2">
      <c r="A1738" s="476"/>
      <c r="B1738" s="43"/>
      <c r="D1738" s="476"/>
      <c r="E1738" s="518"/>
      <c r="F1738" s="284"/>
      <c r="G1738" s="47" t="s">
        <v>37</v>
      </c>
      <c r="H1738" s="285"/>
      <c r="I1738" s="194" t="s">
        <v>38</v>
      </c>
      <c r="J1738" s="51">
        <f>SUM(J1737-J1740-J1739-J1741)</f>
        <v>1300000.0000000009</v>
      </c>
      <c r="K1738" s="51"/>
      <c r="L1738" s="51">
        <f>SUM(J1738:K1738)</f>
        <v>1300000.0000000009</v>
      </c>
    </row>
    <row r="1739" spans="1:12" x14ac:dyDescent="0.2">
      <c r="A1739" s="476"/>
      <c r="B1739" s="43"/>
      <c r="D1739" s="476"/>
      <c r="E1739" s="518"/>
      <c r="F1739" s="284"/>
      <c r="G1739" s="47" t="s">
        <v>589</v>
      </c>
      <c r="H1739" s="286"/>
      <c r="I1739" s="194" t="s">
        <v>590</v>
      </c>
      <c r="J1739" s="51">
        <v>26760000</v>
      </c>
      <c r="K1739" s="51"/>
      <c r="L1739" s="51">
        <f t="shared" ref="L1739:L1740" si="98">SUM(J1739:K1739)</f>
        <v>26760000</v>
      </c>
    </row>
    <row r="1740" spans="1:12" x14ac:dyDescent="0.2">
      <c r="A1740" s="476"/>
      <c r="B1740" s="43"/>
      <c r="C1740" s="463"/>
      <c r="D1740" s="463"/>
      <c r="E1740" s="523"/>
      <c r="F1740" s="284"/>
      <c r="G1740" s="47" t="s">
        <v>113</v>
      </c>
      <c r="H1740" s="286"/>
      <c r="I1740" s="194" t="s">
        <v>280</v>
      </c>
      <c r="J1740" s="51">
        <f>23000000-5137624.14</f>
        <v>17862375.859999999</v>
      </c>
      <c r="K1740" s="51"/>
      <c r="L1740" s="51">
        <f t="shared" si="98"/>
        <v>17862375.859999999</v>
      </c>
    </row>
    <row r="1741" spans="1:12" x14ac:dyDescent="0.2">
      <c r="A1741" s="476"/>
      <c r="B1741" s="43"/>
      <c r="C1741" s="463"/>
      <c r="D1741" s="463"/>
      <c r="E1741" s="523"/>
      <c r="F1741" s="284"/>
      <c r="G1741" s="47" t="s">
        <v>1081</v>
      </c>
      <c r="H1741" s="286"/>
      <c r="I1741" s="40" t="s">
        <v>1082</v>
      </c>
      <c r="J1741" s="51">
        <v>5137624.1399999997</v>
      </c>
      <c r="K1741" s="51"/>
      <c r="L1741" s="51">
        <f>SUM(J1741:K1741)</f>
        <v>5137624.1399999997</v>
      </c>
    </row>
    <row r="1742" spans="1:12" x14ac:dyDescent="0.2">
      <c r="C1742" s="463"/>
      <c r="D1742" s="463"/>
      <c r="E1742" s="523"/>
      <c r="F1742" s="284"/>
      <c r="G1742" s="47"/>
      <c r="H1742" s="286"/>
      <c r="I1742" s="108"/>
      <c r="J1742" s="109"/>
      <c r="K1742" s="109"/>
      <c r="L1742" s="205"/>
    </row>
    <row r="1743" spans="1:12" x14ac:dyDescent="0.2">
      <c r="C1743" s="463"/>
      <c r="D1743" s="463"/>
      <c r="E1743" s="522"/>
      <c r="F1743" s="404"/>
      <c r="G1743" s="302"/>
      <c r="H1743" s="422"/>
      <c r="I1743" s="363" t="s">
        <v>237</v>
      </c>
      <c r="J1743" s="364"/>
      <c r="K1743" s="364"/>
      <c r="L1743" s="304"/>
    </row>
    <row r="1744" spans="1:12" ht="15" x14ac:dyDescent="0.25">
      <c r="D1744" s="43"/>
      <c r="E1744" s="519" t="s">
        <v>245</v>
      </c>
      <c r="F1744" s="404"/>
      <c r="G1744" s="302"/>
      <c r="H1744" s="434"/>
      <c r="I1744" s="365" t="s">
        <v>635</v>
      </c>
      <c r="J1744" s="366"/>
      <c r="K1744" s="366"/>
      <c r="L1744" s="367"/>
    </row>
    <row r="1745" spans="1:12" x14ac:dyDescent="0.2">
      <c r="A1745" s="476"/>
      <c r="B1745" s="43"/>
      <c r="E1745" s="518"/>
      <c r="F1745" s="284"/>
      <c r="G1745" s="41"/>
      <c r="H1745" s="284"/>
      <c r="I1745" s="26"/>
      <c r="J1745" s="28"/>
      <c r="K1745" s="28"/>
      <c r="L1745" s="68"/>
    </row>
    <row r="1746" spans="1:12" ht="15" x14ac:dyDescent="0.25">
      <c r="A1746" s="476"/>
      <c r="B1746" s="43"/>
      <c r="C1746" s="633" t="s">
        <v>100</v>
      </c>
      <c r="D1746" s="633"/>
      <c r="E1746" s="518"/>
      <c r="F1746" s="284"/>
      <c r="G1746" s="41"/>
      <c r="H1746" s="288"/>
      <c r="I1746" s="260" t="s">
        <v>101</v>
      </c>
      <c r="J1746" s="109"/>
      <c r="K1746" s="109"/>
      <c r="L1746" s="205"/>
    </row>
    <row r="1747" spans="1:12" x14ac:dyDescent="0.2">
      <c r="A1747" s="476"/>
      <c r="B1747" s="43"/>
      <c r="D1747" s="476"/>
      <c r="E1747" s="518"/>
      <c r="F1747" s="284"/>
      <c r="G1747" s="41"/>
      <c r="H1747" s="285"/>
      <c r="I1747" s="206"/>
      <c r="J1747" s="109"/>
      <c r="K1747" s="109"/>
      <c r="L1747" s="205"/>
    </row>
    <row r="1748" spans="1:12" x14ac:dyDescent="0.2">
      <c r="A1748" s="476"/>
      <c r="B1748" s="43"/>
      <c r="D1748" s="476"/>
      <c r="E1748" s="518"/>
      <c r="F1748" s="284">
        <v>320</v>
      </c>
      <c r="G1748" s="41"/>
      <c r="H1748" s="284">
        <v>472</v>
      </c>
      <c r="I1748" s="194" t="s">
        <v>102</v>
      </c>
      <c r="J1748" s="51">
        <v>500000</v>
      </c>
      <c r="K1748" s="51"/>
      <c r="L1748" s="51">
        <f>SUM(J1748:J1748)</f>
        <v>500000</v>
      </c>
    </row>
    <row r="1749" spans="1:12" x14ac:dyDescent="0.2">
      <c r="A1749" s="476"/>
      <c r="B1749" s="43"/>
      <c r="D1749" s="476"/>
      <c r="E1749" s="518"/>
      <c r="F1749" s="284"/>
      <c r="G1749" s="41"/>
      <c r="H1749" s="286"/>
      <c r="I1749" s="202" t="s">
        <v>608</v>
      </c>
      <c r="J1749" s="52">
        <f>SUM(J1748)</f>
        <v>500000</v>
      </c>
      <c r="K1749" s="51"/>
      <c r="L1749" s="52">
        <f>SUM(J1749:J1749)</f>
        <v>500000</v>
      </c>
    </row>
    <row r="1750" spans="1:12" x14ac:dyDescent="0.2">
      <c r="A1750" s="476"/>
      <c r="B1750" s="43"/>
      <c r="C1750" s="463"/>
      <c r="D1750" s="463"/>
      <c r="E1750" s="523"/>
      <c r="F1750" s="284"/>
      <c r="G1750" s="47" t="s">
        <v>37</v>
      </c>
      <c r="H1750" s="286"/>
      <c r="I1750" s="194" t="s">
        <v>38</v>
      </c>
      <c r="J1750" s="51">
        <f>SUM(J1749)</f>
        <v>500000</v>
      </c>
      <c r="K1750" s="51"/>
      <c r="L1750" s="51">
        <f>SUM(J1750:J1750)</f>
        <v>500000</v>
      </c>
    </row>
    <row r="1751" spans="1:12" x14ac:dyDescent="0.2">
      <c r="A1751" s="476"/>
      <c r="B1751" s="43"/>
      <c r="C1751" s="463"/>
      <c r="D1751" s="463"/>
      <c r="E1751" s="523"/>
      <c r="F1751" s="284"/>
      <c r="G1751" s="41"/>
      <c r="H1751" s="284"/>
      <c r="I1751" s="24"/>
      <c r="J1751" s="167"/>
      <c r="K1751" s="223"/>
      <c r="L1751" s="300"/>
    </row>
    <row r="1752" spans="1:12" x14ac:dyDescent="0.2">
      <c r="C1752" s="463"/>
      <c r="D1752" s="463"/>
      <c r="E1752" s="522"/>
      <c r="F1752" s="404"/>
      <c r="G1752" s="302"/>
      <c r="H1752" s="404"/>
      <c r="I1752" s="709" t="s">
        <v>275</v>
      </c>
      <c r="J1752" s="710"/>
      <c r="K1752" s="710"/>
      <c r="L1752" s="711"/>
    </row>
    <row r="1753" spans="1:12" ht="15" x14ac:dyDescent="0.25">
      <c r="A1753" s="476"/>
      <c r="B1753" s="43"/>
      <c r="C1753" s="401"/>
      <c r="D1753" s="401"/>
      <c r="E1753" s="519" t="s">
        <v>246</v>
      </c>
      <c r="F1753" s="404"/>
      <c r="G1753" s="302"/>
      <c r="H1753" s="434"/>
      <c r="I1753" s="709" t="s">
        <v>447</v>
      </c>
      <c r="J1753" s="710"/>
      <c r="K1753" s="710"/>
      <c r="L1753" s="711"/>
    </row>
    <row r="1754" spans="1:12" x14ac:dyDescent="0.2">
      <c r="A1754" s="476"/>
      <c r="B1754" s="43"/>
      <c r="C1754" s="401"/>
      <c r="D1754" s="401"/>
      <c r="E1754" s="521"/>
      <c r="F1754" s="284"/>
      <c r="G1754" s="41"/>
      <c r="H1754" s="286"/>
      <c r="I1754" s="24"/>
      <c r="J1754" s="28"/>
      <c r="K1754" s="28"/>
      <c r="L1754" s="53"/>
    </row>
    <row r="1755" spans="1:12" ht="15" x14ac:dyDescent="0.25">
      <c r="A1755" s="476"/>
      <c r="B1755" s="43"/>
      <c r="C1755" s="478" t="s">
        <v>91</v>
      </c>
      <c r="D1755" s="478"/>
      <c r="E1755" s="521"/>
      <c r="F1755" s="284"/>
      <c r="G1755" s="41"/>
      <c r="H1755" s="288"/>
      <c r="I1755" s="252" t="s">
        <v>92</v>
      </c>
      <c r="J1755" s="109"/>
      <c r="K1755" s="109"/>
      <c r="L1755" s="205"/>
    </row>
    <row r="1756" spans="1:12" x14ac:dyDescent="0.2">
      <c r="A1756" s="476"/>
      <c r="B1756" s="43"/>
      <c r="D1756" s="476"/>
      <c r="E1756" s="518"/>
      <c r="F1756" s="284"/>
      <c r="G1756" s="41"/>
      <c r="H1756" s="285"/>
      <c r="I1756" s="206" t="s">
        <v>93</v>
      </c>
      <c r="J1756" s="28"/>
      <c r="K1756" s="28"/>
      <c r="L1756" s="68"/>
    </row>
    <row r="1757" spans="1:12" x14ac:dyDescent="0.2">
      <c r="A1757" s="476"/>
      <c r="B1757" s="43"/>
      <c r="D1757" s="476"/>
      <c r="E1757" s="518"/>
      <c r="F1757" s="284">
        <v>321</v>
      </c>
      <c r="G1757" s="41"/>
      <c r="H1757" s="284">
        <v>472</v>
      </c>
      <c r="I1757" s="194" t="s">
        <v>321</v>
      </c>
      <c r="J1757" s="51">
        <v>6800000</v>
      </c>
      <c r="K1757" s="51"/>
      <c r="L1757" s="51">
        <f>SUM(J1757+K1757)</f>
        <v>6800000</v>
      </c>
    </row>
    <row r="1758" spans="1:12" x14ac:dyDescent="0.2">
      <c r="A1758" s="476"/>
      <c r="B1758" s="43"/>
      <c r="D1758" s="476"/>
      <c r="E1758" s="518"/>
      <c r="F1758" s="284"/>
      <c r="G1758" s="293"/>
      <c r="H1758" s="286"/>
      <c r="I1758" s="202" t="s">
        <v>593</v>
      </c>
      <c r="J1758" s="52">
        <f>SUM(J1757)</f>
        <v>6800000</v>
      </c>
      <c r="K1758" s="51"/>
      <c r="L1758" s="52">
        <f t="shared" ref="L1758" si="99">SUM(L1757)</f>
        <v>6800000</v>
      </c>
    </row>
    <row r="1759" spans="1:12" x14ac:dyDescent="0.2">
      <c r="A1759" s="476"/>
      <c r="B1759" s="43"/>
      <c r="C1759" s="463"/>
      <c r="D1759" s="463"/>
      <c r="E1759" s="523"/>
      <c r="F1759" s="284"/>
      <c r="G1759" s="47" t="s">
        <v>37</v>
      </c>
      <c r="H1759" s="433"/>
      <c r="I1759" s="194" t="s">
        <v>38</v>
      </c>
      <c r="J1759" s="51">
        <f>SUM(J1758)</f>
        <v>6800000</v>
      </c>
      <c r="K1759" s="51"/>
      <c r="L1759" s="51">
        <f>SUM(J1759+K1759)</f>
        <v>6800000</v>
      </c>
    </row>
    <row r="1760" spans="1:12" x14ac:dyDescent="0.2">
      <c r="A1760" s="582"/>
      <c r="B1760" s="583"/>
      <c r="C1760" s="463"/>
      <c r="D1760" s="463"/>
      <c r="E1760" s="523"/>
      <c r="F1760" s="284"/>
      <c r="G1760" s="41"/>
      <c r="H1760" s="285"/>
      <c r="I1760" s="24"/>
      <c r="J1760" s="27"/>
      <c r="K1760" s="28"/>
      <c r="L1760" s="53"/>
    </row>
    <row r="1761" spans="1:12" ht="15" x14ac:dyDescent="0.25">
      <c r="A1761" s="476"/>
      <c r="B1761" s="43"/>
      <c r="C1761" s="463"/>
      <c r="D1761" s="463"/>
      <c r="E1761" s="522"/>
      <c r="F1761" s="404"/>
      <c r="G1761" s="302"/>
      <c r="H1761" s="434"/>
      <c r="I1761" s="363" t="s">
        <v>310</v>
      </c>
      <c r="J1761" s="364"/>
      <c r="K1761" s="364"/>
      <c r="L1761" s="304"/>
    </row>
    <row r="1762" spans="1:12" ht="15" x14ac:dyDescent="0.25">
      <c r="A1762" s="476"/>
      <c r="B1762" s="43"/>
      <c r="D1762" s="43"/>
      <c r="E1762" s="519" t="s">
        <v>244</v>
      </c>
      <c r="F1762" s="404"/>
      <c r="G1762" s="302"/>
      <c r="H1762" s="434"/>
      <c r="I1762" s="365" t="s">
        <v>634</v>
      </c>
      <c r="J1762" s="366"/>
      <c r="K1762" s="366"/>
      <c r="L1762" s="367"/>
    </row>
    <row r="1763" spans="1:12" ht="15" x14ac:dyDescent="0.25">
      <c r="C1763" s="583"/>
      <c r="D1763" s="583"/>
      <c r="E1763" s="563"/>
      <c r="F1763" s="284"/>
      <c r="G1763" s="294"/>
      <c r="H1763" s="288"/>
      <c r="I1763" s="239"/>
      <c r="J1763" s="28"/>
      <c r="K1763" s="28"/>
      <c r="L1763" s="53"/>
    </row>
    <row r="1764" spans="1:12" ht="15" x14ac:dyDescent="0.25">
      <c r="A1764" s="476"/>
      <c r="B1764" s="43"/>
      <c r="C1764" s="633" t="s">
        <v>94</v>
      </c>
      <c r="D1764" s="633"/>
      <c r="E1764" s="518"/>
      <c r="F1764" s="284"/>
      <c r="G1764" s="41"/>
      <c r="H1764" s="288"/>
      <c r="I1764" s="249" t="s">
        <v>95</v>
      </c>
      <c r="J1764" s="109"/>
      <c r="K1764" s="109"/>
      <c r="L1764" s="233"/>
    </row>
    <row r="1765" spans="1:12" x14ac:dyDescent="0.2">
      <c r="A1765" s="476"/>
      <c r="B1765" s="43"/>
      <c r="D1765" s="476"/>
      <c r="E1765" s="518"/>
      <c r="F1765" s="284">
        <v>322</v>
      </c>
      <c r="G1765" s="41"/>
      <c r="H1765" s="284">
        <v>472</v>
      </c>
      <c r="I1765" s="194" t="s">
        <v>96</v>
      </c>
      <c r="J1765" s="56">
        <v>1500000</v>
      </c>
      <c r="K1765" s="51"/>
      <c r="L1765" s="51">
        <f>SUM(J1765+K1765)</f>
        <v>1500000</v>
      </c>
    </row>
    <row r="1766" spans="1:12" x14ac:dyDescent="0.2">
      <c r="A1766" s="476"/>
      <c r="B1766" s="43"/>
      <c r="D1766" s="476"/>
      <c r="E1766" s="518"/>
      <c r="F1766" s="284">
        <v>323</v>
      </c>
      <c r="G1766" s="41"/>
      <c r="H1766" s="284">
        <v>472</v>
      </c>
      <c r="I1766" s="194" t="s">
        <v>97</v>
      </c>
      <c r="J1766" s="56">
        <v>17000000</v>
      </c>
      <c r="K1766" s="51"/>
      <c r="L1766" s="51">
        <f t="shared" ref="L1766:L1770" si="100">SUM(J1766+K1766)</f>
        <v>17000000</v>
      </c>
    </row>
    <row r="1767" spans="1:12" x14ac:dyDescent="0.2">
      <c r="A1767" s="476"/>
      <c r="B1767" s="43"/>
      <c r="D1767" s="476"/>
      <c r="E1767" s="518"/>
      <c r="F1767" s="284">
        <v>324</v>
      </c>
      <c r="G1767" s="41"/>
      <c r="H1767" s="284">
        <v>472</v>
      </c>
      <c r="I1767" s="194" t="s">
        <v>98</v>
      </c>
      <c r="J1767" s="56">
        <v>14300000</v>
      </c>
      <c r="K1767" s="51"/>
      <c r="L1767" s="51">
        <f t="shared" si="100"/>
        <v>14300000</v>
      </c>
    </row>
    <row r="1768" spans="1:12" x14ac:dyDescent="0.2">
      <c r="A1768" s="476"/>
      <c r="B1768" s="43"/>
      <c r="D1768" s="476"/>
      <c r="E1768" s="518"/>
      <c r="F1768" s="284">
        <v>325</v>
      </c>
      <c r="G1768" s="41"/>
      <c r="H1768" s="284">
        <v>472</v>
      </c>
      <c r="I1768" s="194" t="s">
        <v>647</v>
      </c>
      <c r="J1768" s="56">
        <v>7200000</v>
      </c>
      <c r="K1768" s="51"/>
      <c r="L1768" s="51">
        <f t="shared" si="100"/>
        <v>7200000</v>
      </c>
    </row>
    <row r="1769" spans="1:12" ht="22.5" x14ac:dyDescent="0.2">
      <c r="A1769" s="476"/>
      <c r="B1769" s="43"/>
      <c r="D1769" s="476"/>
      <c r="E1769" s="518"/>
      <c r="F1769" s="284">
        <v>326</v>
      </c>
      <c r="G1769" s="41"/>
      <c r="H1769" s="284">
        <v>472</v>
      </c>
      <c r="I1769" s="246" t="s">
        <v>299</v>
      </c>
      <c r="J1769" s="56">
        <v>13100000</v>
      </c>
      <c r="K1769" s="51"/>
      <c r="L1769" s="51">
        <f t="shared" si="100"/>
        <v>13100000</v>
      </c>
    </row>
    <row r="1770" spans="1:12" ht="22.5" x14ac:dyDescent="0.2">
      <c r="A1770" s="476"/>
      <c r="B1770" s="43"/>
      <c r="D1770" s="476"/>
      <c r="E1770" s="518"/>
      <c r="F1770" s="284">
        <v>327</v>
      </c>
      <c r="G1770" s="41"/>
      <c r="H1770" s="284">
        <v>472</v>
      </c>
      <c r="I1770" s="246" t="s">
        <v>705</v>
      </c>
      <c r="J1770" s="56">
        <v>3200000</v>
      </c>
      <c r="K1770" s="51"/>
      <c r="L1770" s="51">
        <f t="shared" si="100"/>
        <v>3200000</v>
      </c>
    </row>
    <row r="1771" spans="1:12" x14ac:dyDescent="0.2">
      <c r="A1771" s="476"/>
      <c r="B1771" s="43"/>
      <c r="D1771" s="476"/>
      <c r="E1771" s="518"/>
      <c r="F1771" s="284"/>
      <c r="G1771" s="41"/>
      <c r="H1771" s="285"/>
      <c r="I1771" s="202" t="s">
        <v>607</v>
      </c>
      <c r="J1771" s="48">
        <f>SUM(J1765:J1770)</f>
        <v>56300000</v>
      </c>
      <c r="K1771" s="48"/>
      <c r="L1771" s="48">
        <f>SUM(L1765:L1770)</f>
        <v>56300000</v>
      </c>
    </row>
    <row r="1772" spans="1:12" x14ac:dyDescent="0.2">
      <c r="A1772" s="476"/>
      <c r="B1772" s="43"/>
      <c r="C1772" s="463"/>
      <c r="D1772" s="633"/>
      <c r="E1772" s="518"/>
      <c r="F1772" s="284"/>
      <c r="G1772" s="47" t="s">
        <v>37</v>
      </c>
      <c r="H1772" s="285"/>
      <c r="I1772" s="194" t="s">
        <v>38</v>
      </c>
      <c r="J1772" s="51">
        <f>SUM(J1771-J1773)</f>
        <v>54242000</v>
      </c>
      <c r="K1772" s="51"/>
      <c r="L1772" s="51">
        <f>SUM(J1772+K1772)</f>
        <v>54242000</v>
      </c>
    </row>
    <row r="1773" spans="1:12" x14ac:dyDescent="0.2">
      <c r="A1773" s="476"/>
      <c r="B1773" s="43"/>
      <c r="C1773" s="633"/>
      <c r="D1773" s="633"/>
      <c r="E1773" s="518"/>
      <c r="F1773" s="284"/>
      <c r="G1773" s="47" t="s">
        <v>113</v>
      </c>
      <c r="H1773" s="284"/>
      <c r="I1773" s="194" t="s">
        <v>280</v>
      </c>
      <c r="J1773" s="51">
        <v>2058000</v>
      </c>
      <c r="K1773" s="51"/>
      <c r="L1773" s="51">
        <f>SUM(J1773:K1773)</f>
        <v>2058000</v>
      </c>
    </row>
    <row r="1774" spans="1:12" ht="15" x14ac:dyDescent="0.2">
      <c r="A1774" s="476"/>
      <c r="B1774" s="43"/>
      <c r="C1774" s="403"/>
      <c r="D1774" s="476"/>
      <c r="E1774" s="518"/>
      <c r="F1774" s="284"/>
      <c r="G1774" s="41"/>
      <c r="H1774" s="284"/>
      <c r="I1774" s="24"/>
      <c r="J1774" s="27"/>
      <c r="K1774" s="28"/>
      <c r="L1774" s="53"/>
    </row>
    <row r="1775" spans="1:12" x14ac:dyDescent="0.2">
      <c r="A1775" s="476"/>
      <c r="B1775" s="43"/>
      <c r="C1775" s="633" t="s">
        <v>94</v>
      </c>
      <c r="D1775" s="476"/>
      <c r="E1775" s="518"/>
      <c r="F1775" s="284"/>
      <c r="G1775" s="41"/>
      <c r="H1775" s="286"/>
      <c r="I1775" s="211" t="s">
        <v>95</v>
      </c>
      <c r="J1775" s="67"/>
      <c r="K1775" s="67"/>
      <c r="L1775" s="49"/>
    </row>
    <row r="1776" spans="1:12" ht="15" x14ac:dyDescent="0.25">
      <c r="A1776" s="476"/>
      <c r="B1776" s="43"/>
      <c r="C1776" s="403"/>
      <c r="D1776" s="645"/>
      <c r="E1776" s="647"/>
      <c r="F1776" s="284"/>
      <c r="G1776" s="41"/>
      <c r="H1776" s="288"/>
      <c r="I1776" s="24"/>
      <c r="J1776" s="223"/>
      <c r="K1776" s="223"/>
      <c r="L1776" s="300"/>
    </row>
    <row r="1777" spans="1:12" x14ac:dyDescent="0.2">
      <c r="A1777" s="476"/>
      <c r="B1777" s="43"/>
      <c r="D1777" s="476"/>
      <c r="E1777" s="520" t="s">
        <v>242</v>
      </c>
      <c r="F1777" s="358"/>
      <c r="G1777" s="307"/>
      <c r="H1777" s="360"/>
      <c r="I1777" s="453" t="s">
        <v>753</v>
      </c>
      <c r="J1777" s="232"/>
      <c r="K1777" s="71"/>
      <c r="L1777" s="233"/>
    </row>
    <row r="1778" spans="1:12" x14ac:dyDescent="0.2">
      <c r="A1778" s="476"/>
      <c r="B1778" s="43"/>
      <c r="D1778" s="476"/>
      <c r="E1778" s="518"/>
      <c r="F1778" s="284">
        <v>328</v>
      </c>
      <c r="G1778" s="41"/>
      <c r="H1778" s="285" t="s">
        <v>415</v>
      </c>
      <c r="I1778" s="194" t="s">
        <v>99</v>
      </c>
      <c r="J1778" s="56">
        <v>4000000</v>
      </c>
      <c r="K1778" s="51"/>
      <c r="L1778" s="51">
        <f>SUM(J1778+K1778)</f>
        <v>4000000</v>
      </c>
    </row>
    <row r="1779" spans="1:12" x14ac:dyDescent="0.2">
      <c r="A1779" s="476"/>
      <c r="B1779" s="43"/>
      <c r="C1779" s="463"/>
      <c r="D1779" s="633"/>
      <c r="E1779" s="518"/>
      <c r="F1779" s="284"/>
      <c r="G1779" s="293"/>
      <c r="H1779" s="285"/>
      <c r="I1779" s="202" t="s">
        <v>742</v>
      </c>
      <c r="J1779" s="48">
        <f>SUM(J1778)</f>
        <v>4000000</v>
      </c>
      <c r="K1779" s="51"/>
      <c r="L1779" s="52">
        <f>SUM(J1779+K1779)</f>
        <v>4000000</v>
      </c>
    </row>
    <row r="1780" spans="1:12" x14ac:dyDescent="0.2">
      <c r="A1780" s="476"/>
      <c r="B1780" s="43"/>
      <c r="C1780" s="633"/>
      <c r="D1780" s="633"/>
      <c r="E1780" s="518"/>
      <c r="F1780" s="284"/>
      <c r="G1780" s="47" t="s">
        <v>37</v>
      </c>
      <c r="H1780" s="284"/>
      <c r="I1780" s="194" t="s">
        <v>38</v>
      </c>
      <c r="J1780" s="51">
        <f>SUM(J1779)</f>
        <v>4000000</v>
      </c>
      <c r="K1780" s="51"/>
      <c r="L1780" s="51">
        <f>SUM(J1780+K1780)</f>
        <v>4000000</v>
      </c>
    </row>
    <row r="1781" spans="1:12" ht="15" x14ac:dyDescent="0.2">
      <c r="A1781" s="476"/>
      <c r="B1781" s="43"/>
      <c r="C1781" s="403"/>
      <c r="D1781" s="476"/>
      <c r="E1781" s="518"/>
      <c r="F1781" s="284"/>
      <c r="G1781" s="41"/>
      <c r="H1781" s="284"/>
      <c r="I1781" s="24"/>
      <c r="J1781" s="27"/>
      <c r="K1781" s="27"/>
      <c r="L1781" s="53"/>
    </row>
    <row r="1782" spans="1:12" ht="15" x14ac:dyDescent="0.2">
      <c r="A1782" s="476"/>
      <c r="B1782" s="43"/>
      <c r="C1782" s="403"/>
      <c r="D1782" s="476"/>
      <c r="E1782" s="518"/>
      <c r="F1782" s="284"/>
      <c r="G1782" s="41"/>
      <c r="H1782" s="286"/>
      <c r="I1782" s="211" t="s">
        <v>95</v>
      </c>
      <c r="J1782" s="329"/>
      <c r="K1782" s="329"/>
      <c r="L1782" s="332"/>
    </row>
    <row r="1783" spans="1:12" ht="15" x14ac:dyDescent="0.25">
      <c r="A1783" s="476"/>
      <c r="B1783" s="43"/>
      <c r="C1783" s="403"/>
      <c r="D1783" s="645"/>
      <c r="E1783" s="647"/>
      <c r="F1783" s="284"/>
      <c r="G1783" s="41"/>
      <c r="H1783" s="288"/>
      <c r="I1783" s="24"/>
      <c r="J1783" s="223"/>
      <c r="K1783" s="223"/>
      <c r="L1783" s="300"/>
    </row>
    <row r="1784" spans="1:12" x14ac:dyDescent="0.2">
      <c r="A1784" s="476"/>
      <c r="B1784" s="43"/>
      <c r="C1784" s="633" t="s">
        <v>94</v>
      </c>
      <c r="D1784" s="476"/>
      <c r="E1784" s="520" t="s">
        <v>242</v>
      </c>
      <c r="F1784" s="358"/>
      <c r="G1784" s="307"/>
      <c r="H1784" s="360"/>
      <c r="I1784" s="453" t="s">
        <v>806</v>
      </c>
      <c r="J1784" s="232"/>
      <c r="K1784" s="71"/>
      <c r="L1784" s="233"/>
    </row>
    <row r="1785" spans="1:12" ht="22.5" x14ac:dyDescent="0.2">
      <c r="A1785" s="476"/>
      <c r="B1785" s="43"/>
      <c r="D1785" s="476"/>
      <c r="E1785" s="518"/>
      <c r="F1785" s="284">
        <v>329</v>
      </c>
      <c r="G1785" s="41"/>
      <c r="H1785" s="284">
        <v>472</v>
      </c>
      <c r="I1785" s="246" t="s">
        <v>575</v>
      </c>
      <c r="J1785" s="973">
        <v>2000000</v>
      </c>
      <c r="K1785" s="963"/>
      <c r="L1785" s="963">
        <f>SUM(J1785+K1785)</f>
        <v>2000000</v>
      </c>
    </row>
    <row r="1786" spans="1:12" x14ac:dyDescent="0.2">
      <c r="A1786" s="476"/>
      <c r="B1786" s="43"/>
      <c r="C1786" s="463"/>
      <c r="D1786" s="633"/>
      <c r="E1786" s="518"/>
      <c r="F1786" s="284"/>
      <c r="G1786" s="293"/>
      <c r="H1786" s="285"/>
      <c r="I1786" s="202" t="s">
        <v>742</v>
      </c>
      <c r="J1786" s="978">
        <f>SUM(J1785)</f>
        <v>2000000</v>
      </c>
      <c r="K1786" s="963"/>
      <c r="L1786" s="969">
        <f>SUM(J1786+K1786)</f>
        <v>2000000</v>
      </c>
    </row>
    <row r="1787" spans="1:12" x14ac:dyDescent="0.2">
      <c r="A1787" s="476"/>
      <c r="B1787" s="43"/>
      <c r="D1787" s="476"/>
      <c r="E1787" s="518"/>
      <c r="F1787" s="284"/>
      <c r="G1787" s="47" t="s">
        <v>37</v>
      </c>
      <c r="H1787" s="284"/>
      <c r="I1787" s="194" t="s">
        <v>38</v>
      </c>
      <c r="J1787" s="963">
        <f>SUM(J1786)</f>
        <v>2000000</v>
      </c>
      <c r="K1787" s="963"/>
      <c r="L1787" s="963">
        <f>SUM(J1787+K1787)</f>
        <v>2000000</v>
      </c>
    </row>
    <row r="1788" spans="1:12" x14ac:dyDescent="0.2">
      <c r="A1788" s="476"/>
      <c r="B1788" s="43"/>
      <c r="D1788" s="476"/>
      <c r="E1788" s="518"/>
      <c r="F1788" s="285"/>
      <c r="G1788" s="41"/>
      <c r="H1788" s="284"/>
      <c r="I1788" s="24"/>
      <c r="J1788" s="27"/>
      <c r="K1788" s="27"/>
      <c r="L1788" s="53"/>
    </row>
    <row r="1789" spans="1:12" x14ac:dyDescent="0.2">
      <c r="A1789" s="476"/>
      <c r="B1789" s="43"/>
      <c r="C1789" s="633" t="s">
        <v>86</v>
      </c>
      <c r="D1789" s="476"/>
      <c r="E1789" s="518"/>
      <c r="F1789" s="284"/>
      <c r="G1789" s="47"/>
      <c r="H1789" s="286"/>
      <c r="I1789" s="211" t="s">
        <v>87</v>
      </c>
      <c r="J1789" s="299"/>
      <c r="K1789" s="299"/>
      <c r="L1789" s="49"/>
    </row>
    <row r="1790" spans="1:12" ht="15" x14ac:dyDescent="0.25">
      <c r="A1790" s="476"/>
      <c r="B1790" s="43"/>
      <c r="D1790" s="476"/>
      <c r="E1790" s="518"/>
      <c r="F1790" s="284"/>
      <c r="G1790" s="41"/>
      <c r="H1790" s="288"/>
      <c r="I1790" s="24"/>
      <c r="J1790" s="27"/>
      <c r="K1790" s="27"/>
      <c r="L1790" s="53"/>
    </row>
    <row r="1791" spans="1:12" ht="22.5" x14ac:dyDescent="0.2">
      <c r="A1791" s="476"/>
      <c r="B1791" s="43"/>
      <c r="D1791" s="476"/>
      <c r="E1791" s="520" t="s">
        <v>242</v>
      </c>
      <c r="F1791" s="358"/>
      <c r="G1791" s="307"/>
      <c r="H1791" s="360"/>
      <c r="I1791" s="312" t="s">
        <v>752</v>
      </c>
      <c r="J1791" s="71"/>
      <c r="K1791" s="71"/>
      <c r="L1791" s="233"/>
    </row>
    <row r="1792" spans="1:12" x14ac:dyDescent="0.2">
      <c r="A1792" s="476"/>
      <c r="B1792" s="43"/>
      <c r="D1792" s="476"/>
      <c r="E1792" s="518"/>
      <c r="F1792" s="284">
        <v>330</v>
      </c>
      <c r="G1792" s="41"/>
      <c r="H1792" s="285" t="s">
        <v>415</v>
      </c>
      <c r="I1792" s="246" t="s">
        <v>169</v>
      </c>
      <c r="J1792" s="51">
        <v>10360000</v>
      </c>
      <c r="K1792" s="52"/>
      <c r="L1792" s="51">
        <f>SUM(J1792:K1792)</f>
        <v>10360000</v>
      </c>
    </row>
    <row r="1793" spans="1:16" ht="15" x14ac:dyDescent="0.25">
      <c r="A1793" s="476"/>
      <c r="B1793" s="43"/>
      <c r="D1793" s="476"/>
      <c r="E1793" s="518"/>
      <c r="F1793" s="284"/>
      <c r="G1793" s="293"/>
      <c r="H1793" s="288"/>
      <c r="I1793" s="272" t="s">
        <v>742</v>
      </c>
      <c r="J1793" s="52">
        <f>SUM(J1792)</f>
        <v>10360000</v>
      </c>
      <c r="K1793" s="52"/>
      <c r="L1793" s="52">
        <f>SUM(J1792:K1792)</f>
        <v>10360000</v>
      </c>
    </row>
    <row r="1794" spans="1:16" s="165" customFormat="1" x14ac:dyDescent="0.2">
      <c r="A1794" s="476"/>
      <c r="B1794" s="43"/>
      <c r="C1794" s="43"/>
      <c r="D1794" s="476"/>
      <c r="E1794" s="518"/>
      <c r="F1794" s="284"/>
      <c r="G1794" s="47" t="s">
        <v>113</v>
      </c>
      <c r="H1794" s="407"/>
      <c r="I1794" s="194" t="s">
        <v>280</v>
      </c>
      <c r="J1794" s="51">
        <f>SUM(J1793-J1795)</f>
        <v>9444675.6199999992</v>
      </c>
      <c r="K1794" s="51"/>
      <c r="L1794" s="51">
        <f>SUM(J1793:K1793)</f>
        <v>10360000</v>
      </c>
      <c r="M1794" s="992"/>
      <c r="N1794" s="834"/>
      <c r="O1794" s="163"/>
      <c r="P1794" s="832"/>
    </row>
    <row r="1795" spans="1:16" s="165" customFormat="1" x14ac:dyDescent="0.2">
      <c r="A1795" s="476"/>
      <c r="B1795" s="43"/>
      <c r="C1795" s="43"/>
      <c r="D1795" s="476"/>
      <c r="E1795" s="518"/>
      <c r="F1795" s="284"/>
      <c r="G1795" s="47" t="s">
        <v>1081</v>
      </c>
      <c r="H1795" s="407"/>
      <c r="I1795" s="40" t="s">
        <v>1082</v>
      </c>
      <c r="J1795" s="51">
        <v>915324.38</v>
      </c>
      <c r="K1795" s="51"/>
      <c r="L1795" s="51">
        <f>SUM(J1795:K1795)</f>
        <v>915324.38</v>
      </c>
      <c r="M1795" s="992"/>
      <c r="N1795" s="834"/>
      <c r="O1795" s="163"/>
      <c r="P1795" s="832"/>
    </row>
    <row r="1796" spans="1:16" s="165" customFormat="1" ht="15" x14ac:dyDescent="0.25">
      <c r="A1796" s="476"/>
      <c r="B1796" s="43"/>
      <c r="C1796" s="43"/>
      <c r="D1796" s="476"/>
      <c r="E1796" s="518"/>
      <c r="F1796" s="284"/>
      <c r="G1796" s="41"/>
      <c r="H1796" s="287"/>
      <c r="I1796" s="24"/>
      <c r="J1796" s="27"/>
      <c r="K1796" s="27"/>
      <c r="L1796" s="53"/>
      <c r="M1796" s="992"/>
      <c r="N1796" s="834"/>
      <c r="O1796" s="163"/>
      <c r="P1796" s="832"/>
    </row>
    <row r="1797" spans="1:16" ht="22.5" x14ac:dyDescent="0.25">
      <c r="A1797" s="476"/>
      <c r="B1797" s="43"/>
      <c r="D1797" s="476"/>
      <c r="E1797" s="520" t="s">
        <v>242</v>
      </c>
      <c r="F1797" s="358"/>
      <c r="G1797" s="307"/>
      <c r="H1797" s="431"/>
      <c r="I1797" s="312" t="s">
        <v>707</v>
      </c>
      <c r="J1797" s="71"/>
      <c r="K1797" s="71"/>
      <c r="L1797" s="233"/>
    </row>
    <row r="1798" spans="1:16" x14ac:dyDescent="0.2">
      <c r="A1798" s="476"/>
      <c r="B1798" s="43"/>
      <c r="D1798" s="476"/>
      <c r="E1798" s="518"/>
      <c r="F1798" s="284">
        <v>331</v>
      </c>
      <c r="G1798" s="41"/>
      <c r="H1798" s="285" t="s">
        <v>588</v>
      </c>
      <c r="I1798" s="243" t="s">
        <v>7</v>
      </c>
      <c r="J1798" s="51">
        <v>1000</v>
      </c>
      <c r="K1798" s="52"/>
      <c r="L1798" s="51">
        <f>SUM(J1798:K1798)</f>
        <v>1000</v>
      </c>
    </row>
    <row r="1799" spans="1:16" x14ac:dyDescent="0.2">
      <c r="A1799" s="476"/>
      <c r="B1799" s="43"/>
      <c r="D1799" s="476"/>
      <c r="E1799" s="518"/>
      <c r="F1799" s="284">
        <v>332</v>
      </c>
      <c r="G1799" s="41"/>
      <c r="H1799" s="285" t="s">
        <v>80</v>
      </c>
      <c r="I1799" s="194" t="s">
        <v>9</v>
      </c>
      <c r="J1799" s="51">
        <v>4705000</v>
      </c>
      <c r="K1799" s="52"/>
      <c r="L1799" s="51">
        <f t="shared" ref="L1799:L1801" si="101">SUM(J1799:K1799)</f>
        <v>4705000</v>
      </c>
      <c r="M1799" s="1014"/>
    </row>
    <row r="1800" spans="1:16" x14ac:dyDescent="0.2">
      <c r="A1800" s="476"/>
      <c r="B1800" s="43"/>
      <c r="D1800" s="476"/>
      <c r="E1800" s="518"/>
      <c r="F1800" s="284">
        <v>333</v>
      </c>
      <c r="G1800" s="41"/>
      <c r="H1800" s="285" t="s">
        <v>46</v>
      </c>
      <c r="I1800" s="194" t="s">
        <v>10</v>
      </c>
      <c r="J1800" s="51">
        <v>1068000</v>
      </c>
      <c r="K1800" s="52"/>
      <c r="L1800" s="51">
        <f t="shared" si="101"/>
        <v>1068000</v>
      </c>
    </row>
    <row r="1801" spans="1:16" x14ac:dyDescent="0.2">
      <c r="A1801" s="476"/>
      <c r="B1801" s="43"/>
      <c r="D1801" s="476"/>
      <c r="E1801" s="518"/>
      <c r="F1801" s="284" t="s">
        <v>965</v>
      </c>
      <c r="G1801" s="41"/>
      <c r="H1801" s="285" t="s">
        <v>570</v>
      </c>
      <c r="I1801" s="194" t="s">
        <v>21</v>
      </c>
      <c r="J1801" s="51">
        <v>500000</v>
      </c>
      <c r="K1801" s="52"/>
      <c r="L1801" s="51">
        <f t="shared" si="101"/>
        <v>500000</v>
      </c>
    </row>
    <row r="1802" spans="1:16" x14ac:dyDescent="0.2">
      <c r="A1802" s="476"/>
      <c r="B1802" s="43"/>
      <c r="D1802" s="476"/>
      <c r="E1802" s="518"/>
      <c r="F1802" s="284"/>
      <c r="G1802" s="47" t="s">
        <v>37</v>
      </c>
      <c r="H1802" s="285"/>
      <c r="I1802" s="194" t="s">
        <v>38</v>
      </c>
      <c r="J1802" s="51">
        <f>SUM(J1806-J1805-J1803)</f>
        <v>3108248.3200000003</v>
      </c>
      <c r="K1802" s="52"/>
      <c r="L1802" s="51">
        <f t="shared" ref="L1802:L1805" si="102">SUM(J1802:K1802)</f>
        <v>3108248.3200000003</v>
      </c>
    </row>
    <row r="1803" spans="1:16" x14ac:dyDescent="0.2">
      <c r="A1803" s="476"/>
      <c r="B1803" s="43"/>
      <c r="D1803" s="476"/>
      <c r="E1803" s="518"/>
      <c r="F1803" s="284"/>
      <c r="G1803" s="47" t="s">
        <v>589</v>
      </c>
      <c r="H1803" s="285"/>
      <c r="I1803" s="194" t="s">
        <v>590</v>
      </c>
      <c r="J1803" s="51">
        <v>3107000</v>
      </c>
      <c r="K1803" s="52"/>
      <c r="L1803" s="51">
        <f t="shared" si="102"/>
        <v>3107000</v>
      </c>
    </row>
    <row r="1804" spans="1:16" s="165" customFormat="1" ht="15" x14ac:dyDescent="0.25">
      <c r="A1804" s="476"/>
      <c r="B1804" s="43"/>
      <c r="C1804" s="43"/>
      <c r="D1804" s="476"/>
      <c r="E1804" s="518"/>
      <c r="F1804" s="284"/>
      <c r="G1804" s="47" t="s">
        <v>113</v>
      </c>
      <c r="H1804" s="287"/>
      <c r="I1804" s="194" t="s">
        <v>280</v>
      </c>
      <c r="J1804" s="51">
        <v>0</v>
      </c>
      <c r="K1804" s="52"/>
      <c r="L1804" s="51">
        <f t="shared" si="102"/>
        <v>0</v>
      </c>
      <c r="M1804" s="992"/>
      <c r="N1804" s="834"/>
      <c r="O1804" s="163"/>
      <c r="P1804" s="832"/>
    </row>
    <row r="1805" spans="1:16" s="165" customFormat="1" ht="15" x14ac:dyDescent="0.25">
      <c r="A1805" s="476"/>
      <c r="B1805" s="43"/>
      <c r="C1805" s="43"/>
      <c r="D1805" s="476"/>
      <c r="E1805" s="518"/>
      <c r="F1805" s="284"/>
      <c r="G1805" s="47" t="s">
        <v>1081</v>
      </c>
      <c r="H1805" s="287"/>
      <c r="I1805" s="40" t="s">
        <v>1082</v>
      </c>
      <c r="J1805" s="51">
        <v>58751.68</v>
      </c>
      <c r="K1805" s="52"/>
      <c r="L1805" s="51">
        <f t="shared" si="102"/>
        <v>58751.68</v>
      </c>
      <c r="M1805" s="992"/>
      <c r="N1805" s="834"/>
      <c r="O1805" s="163"/>
      <c r="P1805" s="832"/>
    </row>
    <row r="1806" spans="1:16" ht="15" x14ac:dyDescent="0.25">
      <c r="A1806" s="476"/>
      <c r="B1806" s="43"/>
      <c r="D1806" s="476"/>
      <c r="E1806" s="518"/>
      <c r="F1806" s="284"/>
      <c r="G1806" s="41"/>
      <c r="H1806" s="288"/>
      <c r="I1806" s="208" t="s">
        <v>751</v>
      </c>
      <c r="J1806" s="52">
        <f>SUM(J1798:J1801)</f>
        <v>6274000</v>
      </c>
      <c r="K1806" s="52"/>
      <c r="L1806" s="52">
        <f>SUM(J1806:K1806)</f>
        <v>6274000</v>
      </c>
    </row>
    <row r="1807" spans="1:16" ht="15" x14ac:dyDescent="0.25">
      <c r="A1807" s="476"/>
      <c r="B1807" s="43"/>
      <c r="D1807" s="476"/>
      <c r="E1807" s="518"/>
      <c r="F1807" s="284"/>
      <c r="G1807" s="41"/>
      <c r="H1807" s="288"/>
      <c r="I1807" s="210"/>
      <c r="J1807" s="71"/>
      <c r="K1807" s="71"/>
      <c r="L1807" s="233"/>
    </row>
    <row r="1808" spans="1:16" ht="22.5" x14ac:dyDescent="0.25">
      <c r="A1808" s="476"/>
      <c r="B1808" s="43"/>
      <c r="D1808" s="476"/>
      <c r="E1808" s="520" t="s">
        <v>242</v>
      </c>
      <c r="F1808" s="358"/>
      <c r="G1808" s="307"/>
      <c r="H1808" s="431"/>
      <c r="I1808" s="312" t="s">
        <v>708</v>
      </c>
      <c r="J1808" s="71"/>
      <c r="K1808" s="71"/>
      <c r="L1808" s="233"/>
    </row>
    <row r="1809" spans="1:16" x14ac:dyDescent="0.2">
      <c r="A1809" s="476"/>
      <c r="B1809" s="43"/>
      <c r="D1809" s="476"/>
      <c r="E1809" s="518"/>
      <c r="F1809" s="284">
        <v>334</v>
      </c>
      <c r="G1809" s="41"/>
      <c r="H1809" s="285" t="s">
        <v>588</v>
      </c>
      <c r="I1809" s="243" t="s">
        <v>7</v>
      </c>
      <c r="J1809" s="51">
        <v>200</v>
      </c>
      <c r="K1809" s="52"/>
      <c r="L1809" s="51">
        <f>SUM(J1809:K1809)</f>
        <v>200</v>
      </c>
    </row>
    <row r="1810" spans="1:16" s="165" customFormat="1" x14ac:dyDescent="0.2">
      <c r="A1810" s="476"/>
      <c r="B1810" s="43"/>
      <c r="C1810" s="43"/>
      <c r="D1810" s="476"/>
      <c r="E1810" s="518"/>
      <c r="F1810" s="284">
        <v>335</v>
      </c>
      <c r="G1810" s="41"/>
      <c r="H1810" s="285" t="s">
        <v>80</v>
      </c>
      <c r="I1810" s="194" t="s">
        <v>9</v>
      </c>
      <c r="J1810" s="51">
        <v>200</v>
      </c>
      <c r="K1810" s="52"/>
      <c r="L1810" s="51">
        <f t="shared" ref="L1810:L1814" si="103">SUM(J1810:K1810)</f>
        <v>200</v>
      </c>
      <c r="M1810" s="992"/>
      <c r="N1810" s="834"/>
      <c r="O1810" s="163"/>
      <c r="P1810" s="832"/>
    </row>
    <row r="1811" spans="1:16" s="166" customFormat="1" x14ac:dyDescent="0.2">
      <c r="A1811" s="476"/>
      <c r="B1811" s="43"/>
      <c r="C1811" s="43"/>
      <c r="D1811" s="476"/>
      <c r="E1811" s="518"/>
      <c r="F1811" s="284">
        <v>336</v>
      </c>
      <c r="G1811" s="41"/>
      <c r="H1811" s="285" t="s">
        <v>46</v>
      </c>
      <c r="I1811" s="194" t="s">
        <v>10</v>
      </c>
      <c r="J1811" s="51">
        <v>200</v>
      </c>
      <c r="K1811" s="52"/>
      <c r="L1811" s="51">
        <f t="shared" si="103"/>
        <v>200</v>
      </c>
      <c r="M1811" s="992"/>
      <c r="N1811" s="826"/>
      <c r="O1811" s="164"/>
      <c r="P1811" s="143"/>
    </row>
    <row r="1812" spans="1:16" x14ac:dyDescent="0.2">
      <c r="A1812" s="476"/>
      <c r="B1812" s="43"/>
      <c r="D1812" s="476"/>
      <c r="E1812" s="518"/>
      <c r="F1812" s="284">
        <v>337</v>
      </c>
      <c r="G1812" s="41"/>
      <c r="H1812" s="285" t="s">
        <v>269</v>
      </c>
      <c r="I1812" s="194" t="s">
        <v>35</v>
      </c>
      <c r="J1812" s="51">
        <v>200</v>
      </c>
      <c r="K1812" s="52"/>
      <c r="L1812" s="51">
        <f t="shared" si="103"/>
        <v>200</v>
      </c>
      <c r="M1812" s="1014"/>
    </row>
    <row r="1813" spans="1:16" x14ac:dyDescent="0.2">
      <c r="A1813" s="476"/>
      <c r="B1813" s="43"/>
      <c r="D1813" s="476"/>
      <c r="E1813" s="518"/>
      <c r="F1813" s="284">
        <v>338</v>
      </c>
      <c r="G1813" s="41"/>
      <c r="H1813" s="285" t="s">
        <v>628</v>
      </c>
      <c r="I1813" s="194" t="s">
        <v>629</v>
      </c>
      <c r="J1813" s="51">
        <v>200</v>
      </c>
      <c r="K1813" s="52"/>
      <c r="L1813" s="51">
        <f t="shared" si="103"/>
        <v>200</v>
      </c>
    </row>
    <row r="1814" spans="1:16" x14ac:dyDescent="0.2">
      <c r="A1814" s="582"/>
      <c r="B1814" s="583"/>
      <c r="C1814" s="583"/>
      <c r="D1814" s="562"/>
      <c r="E1814" s="563"/>
      <c r="F1814" s="284"/>
      <c r="G1814" s="47" t="s">
        <v>37</v>
      </c>
      <c r="H1814" s="584"/>
      <c r="I1814" s="194" t="s">
        <v>38</v>
      </c>
      <c r="J1814" s="51">
        <f>SUM(J1809:J1813)</f>
        <v>1000</v>
      </c>
      <c r="K1814" s="52"/>
      <c r="L1814" s="51">
        <f t="shared" si="103"/>
        <v>1000</v>
      </c>
    </row>
    <row r="1815" spans="1:16" x14ac:dyDescent="0.2">
      <c r="E1815" s="518"/>
      <c r="F1815" s="284"/>
      <c r="G1815" s="41"/>
      <c r="H1815" s="285"/>
      <c r="I1815" s="208" t="s">
        <v>751</v>
      </c>
      <c r="J1815" s="52">
        <f>SUM(J1814)</f>
        <v>1000</v>
      </c>
      <c r="K1815" s="52"/>
      <c r="L1815" s="52">
        <f>SUM(J1815:K1815)</f>
        <v>1000</v>
      </c>
    </row>
    <row r="1816" spans="1:16" x14ac:dyDescent="0.2">
      <c r="E1816" s="518"/>
      <c r="F1816" s="407"/>
      <c r="G1816" s="41"/>
      <c r="H1816" s="286"/>
      <c r="I1816" s="210"/>
      <c r="J1816" s="71" t="s">
        <v>217</v>
      </c>
      <c r="K1816" s="71"/>
      <c r="L1816" s="233"/>
    </row>
    <row r="1817" spans="1:16" x14ac:dyDescent="0.2">
      <c r="A1817" s="626"/>
      <c r="B1817" s="627"/>
      <c r="C1817" s="627"/>
      <c r="D1817" s="553" t="s">
        <v>247</v>
      </c>
      <c r="E1817" s="554"/>
      <c r="F1817" s="638"/>
      <c r="G1817" s="628"/>
      <c r="H1817" s="696"/>
      <c r="I1817" s="630" t="s">
        <v>450</v>
      </c>
      <c r="J1817" s="631">
        <f>SUM(J1822+J1834+J1841+J1847+J1828)</f>
        <v>182961000</v>
      </c>
      <c r="K1817" s="707"/>
      <c r="L1817" s="659">
        <f>SUM(J1817:K1817)</f>
        <v>182961000</v>
      </c>
      <c r="M1817" s="1014"/>
    </row>
    <row r="1818" spans="1:16" x14ac:dyDescent="0.2">
      <c r="B1818" s="43"/>
      <c r="C1818" s="43">
        <v>721</v>
      </c>
      <c r="D1818" s="43"/>
      <c r="E1818" s="518"/>
      <c r="F1818" s="284"/>
      <c r="G1818" s="41"/>
      <c r="H1818" s="285"/>
      <c r="I1818" s="252" t="s">
        <v>103</v>
      </c>
      <c r="J1818" s="350"/>
      <c r="K1818" s="350"/>
      <c r="L1818" s="617"/>
      <c r="M1818" s="1014"/>
    </row>
    <row r="1819" spans="1:16" x14ac:dyDescent="0.2">
      <c r="A1819" s="476"/>
      <c r="B1819" s="43"/>
      <c r="C1819" s="463"/>
      <c r="D1819" s="463"/>
      <c r="E1819" s="522"/>
      <c r="F1819" s="404"/>
      <c r="G1819" s="302"/>
      <c r="H1819" s="404"/>
      <c r="I1819" s="363" t="s">
        <v>272</v>
      </c>
      <c r="J1819" s="656"/>
      <c r="K1819" s="656"/>
      <c r="L1819" s="712"/>
    </row>
    <row r="1820" spans="1:16" s="165" customFormat="1" x14ac:dyDescent="0.2">
      <c r="A1820" s="582"/>
      <c r="B1820" s="583"/>
      <c r="C1820" s="43"/>
      <c r="D1820" s="43"/>
      <c r="E1820" s="519" t="s">
        <v>248</v>
      </c>
      <c r="F1820" s="404"/>
      <c r="G1820" s="302"/>
      <c r="H1820" s="422"/>
      <c r="I1820" s="365" t="s">
        <v>311</v>
      </c>
      <c r="J1820" s="613"/>
      <c r="K1820" s="613"/>
      <c r="L1820" s="652"/>
      <c r="M1820" s="992"/>
      <c r="N1820" s="834"/>
      <c r="O1820" s="163"/>
      <c r="P1820" s="832"/>
    </row>
    <row r="1821" spans="1:16" ht="15" customHeight="1" x14ac:dyDescent="0.2">
      <c r="B1821" s="43"/>
      <c r="D1821" s="476"/>
      <c r="E1821" s="518"/>
      <c r="F1821" s="284">
        <v>339</v>
      </c>
      <c r="G1821" s="41"/>
      <c r="H1821" s="285" t="s">
        <v>718</v>
      </c>
      <c r="I1821" s="245" t="s">
        <v>657</v>
      </c>
      <c r="J1821" s="51">
        <v>139000000</v>
      </c>
      <c r="K1821" s="51"/>
      <c r="L1821" s="51">
        <f>SUM(J1821+K1821)</f>
        <v>139000000</v>
      </c>
      <c r="M1821" s="991"/>
      <c r="N1821" s="845"/>
    </row>
    <row r="1822" spans="1:16" x14ac:dyDescent="0.2">
      <c r="B1822" s="43"/>
      <c r="D1822" s="476"/>
      <c r="E1822" s="518"/>
      <c r="F1822" s="284"/>
      <c r="G1822" s="293"/>
      <c r="H1822" s="285"/>
      <c r="I1822" s="202" t="s">
        <v>609</v>
      </c>
      <c r="J1822" s="52">
        <f>SUM(J1821:J1821)</f>
        <v>139000000</v>
      </c>
      <c r="K1822" s="52"/>
      <c r="L1822" s="52">
        <f>SUM(J1822+K1822)</f>
        <v>139000000</v>
      </c>
      <c r="M1822" s="991"/>
    </row>
    <row r="1823" spans="1:16" s="165" customFormat="1" x14ac:dyDescent="0.2">
      <c r="A1823" s="44"/>
      <c r="B1823" s="43"/>
      <c r="C1823" s="43"/>
      <c r="D1823" s="476"/>
      <c r="E1823" s="518"/>
      <c r="F1823" s="284"/>
      <c r="G1823" s="47" t="s">
        <v>37</v>
      </c>
      <c r="H1823" s="285"/>
      <c r="I1823" s="194" t="s">
        <v>38</v>
      </c>
      <c r="J1823" s="51">
        <f>SUM(J1822)</f>
        <v>139000000</v>
      </c>
      <c r="K1823" s="52"/>
      <c r="L1823" s="51">
        <f>SUM(J1822:K1822)</f>
        <v>139000000</v>
      </c>
      <c r="M1823" s="991"/>
      <c r="N1823" s="834"/>
      <c r="O1823" s="163"/>
      <c r="P1823" s="832"/>
    </row>
    <row r="1824" spans="1:16" s="165" customFormat="1" x14ac:dyDescent="0.2">
      <c r="A1824" s="44"/>
      <c r="B1824" s="43"/>
      <c r="C1824" s="43"/>
      <c r="D1824" s="476"/>
      <c r="E1824" s="518"/>
      <c r="F1824" s="284"/>
      <c r="G1824" s="47"/>
      <c r="H1824" s="285"/>
      <c r="I1824" s="209"/>
      <c r="J1824" s="67"/>
      <c r="K1824" s="299"/>
      <c r="L1824" s="192"/>
      <c r="M1824" s="991"/>
      <c r="N1824" s="834"/>
      <c r="O1824" s="163"/>
      <c r="P1824" s="832"/>
    </row>
    <row r="1825" spans="1:16" s="165" customFormat="1" x14ac:dyDescent="0.2">
      <c r="A1825" s="44"/>
      <c r="B1825" s="43"/>
      <c r="C1825" s="43"/>
      <c r="D1825" s="476"/>
      <c r="E1825" s="522"/>
      <c r="F1825" s="404"/>
      <c r="G1825" s="302"/>
      <c r="H1825" s="404"/>
      <c r="I1825" s="363" t="s">
        <v>274</v>
      </c>
      <c r="J1825" s="656"/>
      <c r="K1825" s="656"/>
      <c r="L1825" s="712"/>
      <c r="M1825" s="991"/>
      <c r="N1825" s="834"/>
      <c r="O1825" s="163"/>
      <c r="P1825" s="832"/>
    </row>
    <row r="1826" spans="1:16" s="165" customFormat="1" ht="22.5" x14ac:dyDescent="0.2">
      <c r="A1826" s="44"/>
      <c r="B1826" s="43"/>
      <c r="C1826" s="43"/>
      <c r="D1826" s="476"/>
      <c r="E1826" s="519" t="s">
        <v>736</v>
      </c>
      <c r="F1826" s="404"/>
      <c r="G1826" s="302"/>
      <c r="H1826" s="422"/>
      <c r="I1826" s="660" t="s">
        <v>898</v>
      </c>
      <c r="J1826" s="613"/>
      <c r="K1826" s="613"/>
      <c r="L1826" s="652"/>
      <c r="M1826" s="991"/>
      <c r="N1826" s="834"/>
      <c r="O1826" s="163"/>
      <c r="P1826" s="832"/>
    </row>
    <row r="1827" spans="1:16" s="165" customFormat="1" x14ac:dyDescent="0.2">
      <c r="A1827" s="44"/>
      <c r="B1827" s="43"/>
      <c r="C1827" s="43"/>
      <c r="D1827" s="476"/>
      <c r="E1827" s="518"/>
      <c r="F1827" s="284">
        <v>340</v>
      </c>
      <c r="G1827" s="47"/>
      <c r="H1827" s="285" t="s">
        <v>80</v>
      </c>
      <c r="I1827" s="194" t="s">
        <v>9</v>
      </c>
      <c r="J1827" s="51">
        <v>300000</v>
      </c>
      <c r="K1827" s="52"/>
      <c r="L1827" s="51">
        <f>SUM(J1827:K1827)</f>
        <v>300000</v>
      </c>
      <c r="M1827" s="991"/>
      <c r="N1827" s="834"/>
      <c r="O1827" s="163"/>
      <c r="P1827" s="832"/>
    </row>
    <row r="1828" spans="1:16" s="165" customFormat="1" x14ac:dyDescent="0.2">
      <c r="A1828" s="44"/>
      <c r="B1828" s="43"/>
      <c r="C1828" s="43"/>
      <c r="D1828" s="476"/>
      <c r="E1828" s="518"/>
      <c r="F1828" s="284"/>
      <c r="G1828" s="293"/>
      <c r="H1828" s="285"/>
      <c r="I1828" s="202" t="s">
        <v>737</v>
      </c>
      <c r="J1828" s="52">
        <f>SUM(J1827:J1827)</f>
        <v>300000</v>
      </c>
      <c r="K1828" s="52"/>
      <c r="L1828" s="52">
        <f>SUM(J1828+K1828)</f>
        <v>300000</v>
      </c>
      <c r="M1828" s="991"/>
      <c r="N1828" s="834"/>
      <c r="O1828" s="163"/>
      <c r="P1828" s="832"/>
    </row>
    <row r="1829" spans="1:16" s="165" customFormat="1" x14ac:dyDescent="0.2">
      <c r="A1829" s="44"/>
      <c r="B1829" s="43"/>
      <c r="C1829" s="43"/>
      <c r="D1829" s="476"/>
      <c r="E1829" s="518"/>
      <c r="F1829" s="284"/>
      <c r="G1829" s="47" t="s">
        <v>37</v>
      </c>
      <c r="H1829" s="285"/>
      <c r="I1829" s="194" t="s">
        <v>38</v>
      </c>
      <c r="J1829" s="51">
        <f>SUM(J1828)</f>
        <v>300000</v>
      </c>
      <c r="K1829" s="52"/>
      <c r="L1829" s="51">
        <f>SUM(J1828:K1828)</f>
        <v>300000</v>
      </c>
      <c r="M1829" s="991"/>
      <c r="N1829" s="834"/>
      <c r="O1829" s="163"/>
      <c r="P1829" s="832"/>
    </row>
    <row r="1830" spans="1:16" s="165" customFormat="1" x14ac:dyDescent="0.2">
      <c r="A1830" s="44"/>
      <c r="B1830" s="43"/>
      <c r="C1830" s="43"/>
      <c r="D1830" s="476"/>
      <c r="E1830" s="518"/>
      <c r="F1830" s="284"/>
      <c r="G1830" s="47"/>
      <c r="H1830" s="285"/>
      <c r="I1830" s="209"/>
      <c r="J1830" s="67"/>
      <c r="K1830" s="299"/>
      <c r="L1830" s="192"/>
      <c r="M1830" s="991"/>
      <c r="N1830" s="834"/>
      <c r="O1830" s="163"/>
      <c r="P1830" s="832"/>
    </row>
    <row r="1831" spans="1:16" s="166" customFormat="1" x14ac:dyDescent="0.2">
      <c r="A1831" s="44"/>
      <c r="B1831" s="43"/>
      <c r="C1831" s="43">
        <v>620</v>
      </c>
      <c r="D1831" s="476"/>
      <c r="E1831" s="520" t="s">
        <v>247</v>
      </c>
      <c r="F1831" s="358"/>
      <c r="G1831" s="308"/>
      <c r="H1831" s="360"/>
      <c r="I1831" s="368" t="s">
        <v>805</v>
      </c>
      <c r="J1831" s="67"/>
      <c r="K1831" s="299"/>
      <c r="L1831" s="192"/>
      <c r="M1831" s="1014"/>
      <c r="N1831" s="826"/>
      <c r="O1831" s="164"/>
      <c r="P1831" s="143"/>
    </row>
    <row r="1832" spans="1:16" s="166" customFormat="1" x14ac:dyDescent="0.2">
      <c r="A1832" s="44"/>
      <c r="B1832" s="43"/>
      <c r="C1832" s="43"/>
      <c r="D1832" s="476"/>
      <c r="E1832" s="518"/>
      <c r="F1832" s="284">
        <v>341</v>
      </c>
      <c r="G1832" s="47"/>
      <c r="H1832" s="284">
        <v>512</v>
      </c>
      <c r="I1832" s="194" t="s">
        <v>21</v>
      </c>
      <c r="J1832" s="51">
        <v>30000000</v>
      </c>
      <c r="K1832" s="52"/>
      <c r="L1832" s="51">
        <f>SUM(J1832:K1832)</f>
        <v>30000000</v>
      </c>
      <c r="M1832" s="992"/>
      <c r="N1832" s="826"/>
      <c r="O1832" s="164"/>
      <c r="P1832" s="143"/>
    </row>
    <row r="1833" spans="1:16" x14ac:dyDescent="0.2">
      <c r="B1833" s="43"/>
      <c r="D1833" s="476"/>
      <c r="E1833" s="518"/>
      <c r="F1833" s="284"/>
      <c r="G1833" s="47" t="s">
        <v>37</v>
      </c>
      <c r="H1833" s="284"/>
      <c r="I1833" s="194" t="s">
        <v>38</v>
      </c>
      <c r="J1833" s="344">
        <f>SUM(J1832)</f>
        <v>30000000</v>
      </c>
      <c r="K1833" s="348"/>
      <c r="L1833" s="51">
        <f>SUM(J1832:K1832)</f>
        <v>30000000</v>
      </c>
    </row>
    <row r="1834" spans="1:16" s="165" customFormat="1" x14ac:dyDescent="0.2">
      <c r="A1834" s="44"/>
      <c r="B1834" s="43"/>
      <c r="C1834" s="43"/>
      <c r="D1834" s="476"/>
      <c r="E1834" s="518"/>
      <c r="F1834" s="284"/>
      <c r="G1834" s="41"/>
      <c r="H1834" s="285"/>
      <c r="I1834" s="202" t="s">
        <v>704</v>
      </c>
      <c r="J1834" s="349">
        <f>SUM(J1833)</f>
        <v>30000000</v>
      </c>
      <c r="K1834" s="52"/>
      <c r="L1834" s="52">
        <f>SUM(L1833)</f>
        <v>30000000</v>
      </c>
      <c r="M1834" s="992"/>
      <c r="N1834" s="834"/>
      <c r="O1834" s="163"/>
      <c r="P1834" s="832"/>
    </row>
    <row r="1835" spans="1:16" ht="15" x14ac:dyDescent="0.25">
      <c r="B1835" s="43"/>
      <c r="D1835" s="476"/>
      <c r="E1835" s="518"/>
      <c r="F1835" s="744"/>
      <c r="G1835" s="47"/>
      <c r="H1835" s="288"/>
      <c r="I1835" s="209"/>
      <c r="J1835" s="67"/>
      <c r="K1835" s="299"/>
      <c r="L1835" s="192"/>
    </row>
    <row r="1836" spans="1:16" ht="22.5" x14ac:dyDescent="0.25">
      <c r="B1836" s="43"/>
      <c r="C1836" s="43">
        <v>620</v>
      </c>
      <c r="D1836" s="476"/>
      <c r="E1836" s="520" t="s">
        <v>247</v>
      </c>
      <c r="F1836" s="748"/>
      <c r="G1836" s="381"/>
      <c r="H1836" s="431"/>
      <c r="I1836" s="368" t="s">
        <v>750</v>
      </c>
      <c r="J1836" s="234"/>
      <c r="K1836" s="299"/>
      <c r="L1836" s="49"/>
    </row>
    <row r="1837" spans="1:16" x14ac:dyDescent="0.2">
      <c r="B1837" s="43"/>
      <c r="D1837" s="476"/>
      <c r="E1837" s="518"/>
      <c r="F1837" s="792" t="s">
        <v>964</v>
      </c>
      <c r="G1837" s="793"/>
      <c r="H1837" s="794" t="s">
        <v>46</v>
      </c>
      <c r="I1837" s="807" t="s">
        <v>10</v>
      </c>
      <c r="J1837" s="1027">
        <v>200000</v>
      </c>
      <c r="K1837" s="1028"/>
      <c r="L1837" s="1029">
        <f>SUM(J1837:K1837)</f>
        <v>200000</v>
      </c>
    </row>
    <row r="1838" spans="1:16" x14ac:dyDescent="0.2">
      <c r="B1838" s="43"/>
      <c r="D1838" s="476"/>
      <c r="E1838" s="518"/>
      <c r="F1838" s="284">
        <v>342</v>
      </c>
      <c r="G1838" s="41"/>
      <c r="H1838" s="285" t="s">
        <v>270</v>
      </c>
      <c r="I1838" s="194" t="s">
        <v>20</v>
      </c>
      <c r="J1838" s="989">
        <v>8761000</v>
      </c>
      <c r="K1838" s="956"/>
      <c r="L1838" s="956">
        <f>SUM(J1838:K1838)</f>
        <v>8761000</v>
      </c>
    </row>
    <row r="1839" spans="1:16" x14ac:dyDescent="0.2">
      <c r="A1839" s="476"/>
      <c r="B1839" s="43"/>
      <c r="D1839" s="476"/>
      <c r="E1839" s="518"/>
      <c r="F1839" s="284"/>
      <c r="G1839" s="47" t="s">
        <v>37</v>
      </c>
      <c r="H1839" s="284"/>
      <c r="I1839" s="194" t="s">
        <v>38</v>
      </c>
      <c r="J1839" s="989">
        <f>J1841-J1840</f>
        <v>401000</v>
      </c>
      <c r="K1839" s="957"/>
      <c r="L1839" s="956">
        <f t="shared" ref="L1839:L1841" si="104">SUM(J1839:K1839)</f>
        <v>401000</v>
      </c>
    </row>
    <row r="1840" spans="1:16" x14ac:dyDescent="0.2">
      <c r="A1840" s="476"/>
      <c r="B1840" s="43"/>
      <c r="D1840" s="476"/>
      <c r="E1840" s="518"/>
      <c r="F1840" s="284"/>
      <c r="G1840" s="47" t="s">
        <v>113</v>
      </c>
      <c r="H1840" s="284"/>
      <c r="I1840" s="194" t="s">
        <v>280</v>
      </c>
      <c r="J1840" s="989">
        <v>8560000</v>
      </c>
      <c r="K1840" s="957"/>
      <c r="L1840" s="956">
        <f t="shared" si="104"/>
        <v>8560000</v>
      </c>
    </row>
    <row r="1841" spans="1:12" x14ac:dyDescent="0.2">
      <c r="E1841" s="518"/>
      <c r="F1841" s="284"/>
      <c r="G1841" s="41"/>
      <c r="H1841" s="285"/>
      <c r="I1841" s="202" t="s">
        <v>710</v>
      </c>
      <c r="J1841" s="990">
        <f>SUM(J1837:J1838)</f>
        <v>8961000</v>
      </c>
      <c r="K1841" s="957"/>
      <c r="L1841" s="957">
        <f t="shared" si="104"/>
        <v>8961000</v>
      </c>
    </row>
    <row r="1842" spans="1:12" ht="15" x14ac:dyDescent="0.25">
      <c r="E1842" s="518"/>
      <c r="F1842" s="284"/>
      <c r="G1842" s="41"/>
      <c r="H1842" s="288"/>
      <c r="I1842" s="261"/>
      <c r="J1842" s="232"/>
      <c r="K1842" s="71"/>
      <c r="L1842" s="233"/>
    </row>
    <row r="1843" spans="1:12" ht="33.75" x14ac:dyDescent="0.2">
      <c r="B1843" s="43"/>
      <c r="C1843" s="43">
        <v>620</v>
      </c>
      <c r="D1843" s="476"/>
      <c r="E1843" s="520" t="s">
        <v>247</v>
      </c>
      <c r="F1843" s="748"/>
      <c r="G1843" s="381"/>
      <c r="H1843" s="360"/>
      <c r="I1843" s="368" t="s">
        <v>936</v>
      </c>
      <c r="J1843" s="234"/>
      <c r="K1843" s="299"/>
      <c r="L1843" s="49"/>
    </row>
    <row r="1844" spans="1:12" x14ac:dyDescent="0.2">
      <c r="B1844" s="43"/>
      <c r="D1844" s="476"/>
      <c r="E1844" s="518"/>
      <c r="F1844" s="792" t="s">
        <v>963</v>
      </c>
      <c r="G1844" s="793"/>
      <c r="H1844" s="794" t="s">
        <v>46</v>
      </c>
      <c r="I1844" s="807" t="s">
        <v>10</v>
      </c>
      <c r="J1844" s="816">
        <v>200000</v>
      </c>
      <c r="K1844" s="817"/>
      <c r="L1844" s="797">
        <f>SUM(J1844:K1844)</f>
        <v>200000</v>
      </c>
    </row>
    <row r="1845" spans="1:12" x14ac:dyDescent="0.2">
      <c r="B1845" s="43"/>
      <c r="D1845" s="476"/>
      <c r="E1845" s="518"/>
      <c r="F1845" s="284">
        <v>343</v>
      </c>
      <c r="G1845" s="41"/>
      <c r="H1845" s="285" t="s">
        <v>270</v>
      </c>
      <c r="I1845" s="194" t="s">
        <v>20</v>
      </c>
      <c r="J1845" s="56">
        <v>4500000</v>
      </c>
      <c r="K1845" s="51"/>
      <c r="L1845" s="51">
        <f>SUM(J1845:K1845)</f>
        <v>4500000</v>
      </c>
    </row>
    <row r="1846" spans="1:12" x14ac:dyDescent="0.2">
      <c r="A1846" s="476"/>
      <c r="B1846" s="43"/>
      <c r="D1846" s="476"/>
      <c r="E1846" s="518"/>
      <c r="F1846" s="284"/>
      <c r="G1846" s="47" t="s">
        <v>37</v>
      </c>
      <c r="H1846" s="285"/>
      <c r="I1846" s="194" t="s">
        <v>38</v>
      </c>
      <c r="J1846" s="56">
        <f>SUM(J1844:J1845)</f>
        <v>4700000</v>
      </c>
      <c r="K1846" s="52"/>
      <c r="L1846" s="51">
        <f t="shared" ref="L1846:L1847" si="105">SUM(J1846:K1846)</f>
        <v>4700000</v>
      </c>
    </row>
    <row r="1847" spans="1:12" x14ac:dyDescent="0.2">
      <c r="E1847" s="518"/>
      <c r="F1847" s="284"/>
      <c r="G1847" s="41"/>
      <c r="H1847" s="285"/>
      <c r="I1847" s="202" t="s">
        <v>710</v>
      </c>
      <c r="J1847" s="48">
        <f>SUM(J1844:J1845)</f>
        <v>4700000</v>
      </c>
      <c r="K1847" s="52"/>
      <c r="L1847" s="52">
        <f t="shared" si="105"/>
        <v>4700000</v>
      </c>
    </row>
    <row r="1848" spans="1:12" x14ac:dyDescent="0.2">
      <c r="E1848" s="518"/>
      <c r="F1848" s="284"/>
      <c r="G1848" s="41"/>
      <c r="H1848" s="285"/>
      <c r="I1848" s="261"/>
      <c r="J1848" s="232"/>
      <c r="K1848" s="71"/>
      <c r="L1848" s="233"/>
    </row>
    <row r="1849" spans="1:12" x14ac:dyDescent="0.2">
      <c r="A1849" s="655"/>
      <c r="B1849" s="627"/>
      <c r="C1849" s="627"/>
      <c r="D1849" s="627">
        <v>1201</v>
      </c>
      <c r="E1849" s="554"/>
      <c r="F1849" s="638"/>
      <c r="G1849" s="628"/>
      <c r="H1849" s="638"/>
      <c r="I1849" s="630" t="s">
        <v>576</v>
      </c>
      <c r="J1849" s="599">
        <f>SUM(J1877+J1889+J1923+J1935+J1942+J1953+J1958+J1972+J1980+J1989+J2000+J1963+J1947)</f>
        <v>159259602</v>
      </c>
      <c r="K1849" s="599">
        <f>SUM(K1877+K1889+K1923+K1935+K1942+K1953+K1958+K1972+K1980+K1989+K2000)</f>
        <v>15916050</v>
      </c>
      <c r="L1849" s="599">
        <f>SUM(L1877+L1889+L1923+L1935+L1942+L1953+L1958+L1972+L1980+L1989+L2000+L1947+L1963)</f>
        <v>175175652</v>
      </c>
    </row>
    <row r="1850" spans="1:12" x14ac:dyDescent="0.2">
      <c r="B1850" s="463"/>
      <c r="C1850" s="463"/>
      <c r="D1850" s="463"/>
      <c r="E1850" s="523"/>
      <c r="F1850" s="284"/>
      <c r="G1850" s="41"/>
      <c r="H1850" s="284"/>
      <c r="I1850" s="663"/>
      <c r="J1850" s="223"/>
      <c r="K1850" s="223"/>
      <c r="L1850" s="224"/>
    </row>
    <row r="1851" spans="1:12" x14ac:dyDescent="0.2">
      <c r="C1851" s="43">
        <v>820</v>
      </c>
      <c r="D1851" s="43"/>
      <c r="E1851" s="518"/>
      <c r="F1851" s="284"/>
      <c r="G1851" s="41"/>
      <c r="H1851" s="285"/>
      <c r="I1851" s="260" t="s">
        <v>83</v>
      </c>
      <c r="J1851" s="329"/>
      <c r="K1851" s="329"/>
      <c r="L1851" s="330"/>
    </row>
    <row r="1852" spans="1:12" ht="15" customHeight="1" x14ac:dyDescent="0.2">
      <c r="D1852" s="43"/>
      <c r="E1852" s="518"/>
      <c r="F1852" s="284"/>
      <c r="G1852" s="41"/>
      <c r="H1852" s="285"/>
      <c r="I1852" s="206"/>
      <c r="J1852" s="223"/>
      <c r="K1852" s="223"/>
      <c r="L1852" s="224"/>
    </row>
    <row r="1853" spans="1:12" ht="16.5" customHeight="1" x14ac:dyDescent="0.2">
      <c r="B1853" s="43">
        <v>4</v>
      </c>
      <c r="E1853" s="518"/>
      <c r="F1853" s="284"/>
      <c r="G1853" s="41"/>
      <c r="H1853" s="285"/>
      <c r="I1853" s="260" t="s">
        <v>84</v>
      </c>
      <c r="J1853" s="329"/>
      <c r="K1853" s="329"/>
      <c r="L1853" s="330"/>
    </row>
    <row r="1854" spans="1:12" ht="12.75" customHeight="1" x14ac:dyDescent="0.25">
      <c r="B1854" s="633"/>
      <c r="D1854" s="43"/>
      <c r="E1854" s="523"/>
      <c r="F1854" s="284"/>
      <c r="G1854" s="41"/>
      <c r="H1854" s="288"/>
      <c r="I1854" s="206"/>
      <c r="J1854" s="223"/>
      <c r="K1854" s="223"/>
      <c r="L1854" s="224"/>
    </row>
    <row r="1855" spans="1:12" ht="26.25" customHeight="1" x14ac:dyDescent="0.25">
      <c r="D1855" s="476"/>
      <c r="E1855" s="519"/>
      <c r="F1855" s="404"/>
      <c r="G1855" s="302"/>
      <c r="H1855" s="434"/>
      <c r="I1855" s="363" t="s">
        <v>272</v>
      </c>
      <c r="J1855" s="656"/>
      <c r="K1855" s="656"/>
      <c r="L1855" s="377"/>
    </row>
    <row r="1856" spans="1:12" ht="14.25" customHeight="1" x14ac:dyDescent="0.25">
      <c r="D1856" s="476"/>
      <c r="E1856" s="519" t="s">
        <v>234</v>
      </c>
      <c r="F1856" s="404"/>
      <c r="G1856" s="302"/>
      <c r="H1856" s="434"/>
      <c r="I1856" s="365" t="s">
        <v>235</v>
      </c>
      <c r="J1856" s="613"/>
      <c r="K1856" s="613"/>
      <c r="L1856" s="380"/>
    </row>
    <row r="1857" spans="1:12" ht="15" x14ac:dyDescent="0.25">
      <c r="D1857" s="476"/>
      <c r="E1857" s="518"/>
      <c r="F1857" s="284"/>
      <c r="G1857" s="41"/>
      <c r="H1857" s="288"/>
      <c r="I1857" s="24"/>
      <c r="J1857" s="223"/>
      <c r="K1857" s="223"/>
      <c r="L1857" s="224"/>
    </row>
    <row r="1858" spans="1:12" x14ac:dyDescent="0.2">
      <c r="D1858" s="476"/>
      <c r="E1858" s="518"/>
      <c r="F1858" s="284">
        <v>344</v>
      </c>
      <c r="G1858" s="41"/>
      <c r="H1858" s="284">
        <v>411</v>
      </c>
      <c r="I1858" s="194" t="s">
        <v>2</v>
      </c>
      <c r="J1858" s="713">
        <f>11969000</f>
        <v>11969000</v>
      </c>
      <c r="K1858" s="51"/>
      <c r="L1858" s="51">
        <f t="shared" ref="L1858:L1873" si="106">SUM(J1858+K1858)</f>
        <v>11969000</v>
      </c>
    </row>
    <row r="1859" spans="1:12" x14ac:dyDescent="0.2">
      <c r="D1859" s="476"/>
      <c r="E1859" s="518"/>
      <c r="F1859" s="284">
        <v>345</v>
      </c>
      <c r="G1859" s="41"/>
      <c r="H1859" s="284">
        <v>412</v>
      </c>
      <c r="I1859" s="243" t="s">
        <v>3</v>
      </c>
      <c r="J1859" s="713">
        <v>2053000</v>
      </c>
      <c r="K1859" s="51"/>
      <c r="L1859" s="51">
        <f t="shared" si="106"/>
        <v>2053000</v>
      </c>
    </row>
    <row r="1860" spans="1:12" x14ac:dyDescent="0.2">
      <c r="D1860" s="476"/>
      <c r="E1860" s="518"/>
      <c r="F1860" s="284">
        <v>346</v>
      </c>
      <c r="G1860" s="41"/>
      <c r="H1860" s="284">
        <v>413</v>
      </c>
      <c r="I1860" s="243" t="s">
        <v>33</v>
      </c>
      <c r="J1860" s="51">
        <v>100000</v>
      </c>
      <c r="K1860" s="51"/>
      <c r="L1860" s="51">
        <f t="shared" si="106"/>
        <v>100000</v>
      </c>
    </row>
    <row r="1861" spans="1:12" x14ac:dyDescent="0.2">
      <c r="D1861" s="476"/>
      <c r="E1861" s="518"/>
      <c r="F1861" s="284">
        <v>347</v>
      </c>
      <c r="G1861" s="41"/>
      <c r="H1861" s="284">
        <v>414</v>
      </c>
      <c r="I1861" s="194" t="s">
        <v>34</v>
      </c>
      <c r="J1861" s="51">
        <v>1000000</v>
      </c>
      <c r="K1861" s="51">
        <v>800000</v>
      </c>
      <c r="L1861" s="51">
        <f t="shared" si="106"/>
        <v>1800000</v>
      </c>
    </row>
    <row r="1862" spans="1:12" x14ac:dyDescent="0.2">
      <c r="D1862" s="476"/>
      <c r="E1862" s="518"/>
      <c r="F1862" s="284">
        <v>348</v>
      </c>
      <c r="G1862" s="41"/>
      <c r="H1862" s="284">
        <v>415</v>
      </c>
      <c r="I1862" s="243" t="s">
        <v>5</v>
      </c>
      <c r="J1862" s="51">
        <v>600000</v>
      </c>
      <c r="K1862" s="51"/>
      <c r="L1862" s="51">
        <f t="shared" si="106"/>
        <v>600000</v>
      </c>
    </row>
    <row r="1863" spans="1:12" x14ac:dyDescent="0.2">
      <c r="D1863" s="476"/>
      <c r="E1863" s="518"/>
      <c r="F1863" s="284">
        <v>349</v>
      </c>
      <c r="G1863" s="41"/>
      <c r="H1863" s="284">
        <v>416</v>
      </c>
      <c r="I1863" s="243" t="s">
        <v>6</v>
      </c>
      <c r="J1863" s="51">
        <v>950000</v>
      </c>
      <c r="K1863" s="51"/>
      <c r="L1863" s="51">
        <f t="shared" si="106"/>
        <v>950000</v>
      </c>
    </row>
    <row r="1864" spans="1:12" x14ac:dyDescent="0.2">
      <c r="D1864" s="476"/>
      <c r="E1864" s="518"/>
      <c r="F1864" s="284">
        <v>350</v>
      </c>
      <c r="G1864" s="41"/>
      <c r="H1864" s="284">
        <v>421</v>
      </c>
      <c r="I1864" s="243" t="s">
        <v>7</v>
      </c>
      <c r="J1864" s="51">
        <v>1270000</v>
      </c>
      <c r="K1864" s="51">
        <v>40000</v>
      </c>
      <c r="L1864" s="51">
        <f t="shared" si="106"/>
        <v>1310000</v>
      </c>
    </row>
    <row r="1865" spans="1:12" x14ac:dyDescent="0.2">
      <c r="D1865" s="476"/>
      <c r="E1865" s="518"/>
      <c r="F1865" s="284">
        <v>351</v>
      </c>
      <c r="G1865" s="41"/>
      <c r="H1865" s="284">
        <v>422</v>
      </c>
      <c r="I1865" s="194" t="s">
        <v>8</v>
      </c>
      <c r="J1865" s="51">
        <v>250000</v>
      </c>
      <c r="K1865" s="51">
        <v>50000</v>
      </c>
      <c r="L1865" s="51">
        <f t="shared" si="106"/>
        <v>300000</v>
      </c>
    </row>
    <row r="1866" spans="1:12" x14ac:dyDescent="0.2">
      <c r="D1866" s="476"/>
      <c r="E1866" s="518"/>
      <c r="F1866" s="284">
        <v>352</v>
      </c>
      <c r="G1866" s="41"/>
      <c r="H1866" s="284">
        <v>424</v>
      </c>
      <c r="I1866" s="194" t="s">
        <v>10</v>
      </c>
      <c r="J1866" s="51">
        <v>500000</v>
      </c>
      <c r="K1866" s="51"/>
      <c r="L1866" s="51">
        <f t="shared" si="106"/>
        <v>500000</v>
      </c>
    </row>
    <row r="1867" spans="1:12" x14ac:dyDescent="0.2">
      <c r="D1867" s="476"/>
      <c r="E1867" s="518"/>
      <c r="F1867" s="284">
        <v>353</v>
      </c>
      <c r="G1867" s="41"/>
      <c r="H1867" s="284">
        <v>425</v>
      </c>
      <c r="I1867" s="194" t="s">
        <v>11</v>
      </c>
      <c r="J1867" s="51">
        <v>1150000</v>
      </c>
      <c r="K1867" s="51">
        <v>50000</v>
      </c>
      <c r="L1867" s="51">
        <f t="shared" si="106"/>
        <v>1200000</v>
      </c>
    </row>
    <row r="1868" spans="1:12" x14ac:dyDescent="0.2">
      <c r="D1868" s="476"/>
      <c r="E1868" s="518"/>
      <c r="F1868" s="284">
        <v>354</v>
      </c>
      <c r="G1868" s="41"/>
      <c r="H1868" s="284">
        <v>426</v>
      </c>
      <c r="I1868" s="194" t="s">
        <v>35</v>
      </c>
      <c r="J1868" s="51">
        <v>1000000</v>
      </c>
      <c r="K1868" s="51">
        <v>170000</v>
      </c>
      <c r="L1868" s="51">
        <f t="shared" si="106"/>
        <v>1170000</v>
      </c>
    </row>
    <row r="1869" spans="1:12" x14ac:dyDescent="0.2">
      <c r="D1869" s="476"/>
      <c r="E1869" s="518"/>
      <c r="F1869" s="284">
        <v>355</v>
      </c>
      <c r="G1869" s="41"/>
      <c r="H1869" s="284">
        <v>441</v>
      </c>
      <c r="I1869" s="194" t="s">
        <v>13</v>
      </c>
      <c r="J1869" s="51">
        <v>300000</v>
      </c>
      <c r="K1869" s="51"/>
      <c r="L1869" s="51">
        <f t="shared" si="106"/>
        <v>300000</v>
      </c>
    </row>
    <row r="1870" spans="1:12" x14ac:dyDescent="0.2">
      <c r="D1870" s="476"/>
      <c r="E1870" s="518"/>
      <c r="F1870" s="284">
        <v>356</v>
      </c>
      <c r="G1870" s="41"/>
      <c r="H1870" s="284">
        <v>444</v>
      </c>
      <c r="I1870" s="194" t="s">
        <v>14</v>
      </c>
      <c r="J1870" s="51">
        <v>200000</v>
      </c>
      <c r="K1870" s="51"/>
      <c r="L1870" s="51">
        <f t="shared" si="106"/>
        <v>200000</v>
      </c>
    </row>
    <row r="1871" spans="1:12" ht="15" x14ac:dyDescent="0.2">
      <c r="A1871" s="476"/>
      <c r="B1871" s="43"/>
      <c r="C1871" s="403"/>
      <c r="D1871" s="476"/>
      <c r="E1871" s="518"/>
      <c r="F1871" s="284">
        <v>357</v>
      </c>
      <c r="G1871" s="41"/>
      <c r="H1871" s="284">
        <v>465</v>
      </c>
      <c r="I1871" s="194" t="s">
        <v>216</v>
      </c>
      <c r="J1871" s="51">
        <v>1411200</v>
      </c>
      <c r="K1871" s="51"/>
      <c r="L1871" s="51">
        <f t="shared" si="106"/>
        <v>1411200</v>
      </c>
    </row>
    <row r="1872" spans="1:12" ht="15" x14ac:dyDescent="0.2">
      <c r="A1872" s="476"/>
      <c r="B1872" s="43"/>
      <c r="C1872" s="403"/>
      <c r="D1872" s="476"/>
      <c r="E1872" s="518"/>
      <c r="F1872" s="284">
        <v>358</v>
      </c>
      <c r="G1872" s="41"/>
      <c r="H1872" s="284">
        <v>482</v>
      </c>
      <c r="I1872" s="194" t="s">
        <v>17</v>
      </c>
      <c r="J1872" s="51">
        <v>20000</v>
      </c>
      <c r="K1872" s="51">
        <v>20000</v>
      </c>
      <c r="L1872" s="51">
        <f t="shared" si="106"/>
        <v>40000</v>
      </c>
    </row>
    <row r="1873" spans="1:12" ht="15" x14ac:dyDescent="0.2">
      <c r="A1873" s="476"/>
      <c r="B1873" s="43"/>
      <c r="C1873" s="403"/>
      <c r="D1873" s="476"/>
      <c r="E1873" s="518"/>
      <c r="F1873" s="284">
        <v>359</v>
      </c>
      <c r="G1873" s="41"/>
      <c r="H1873" s="284">
        <v>512</v>
      </c>
      <c r="I1873" s="194" t="s">
        <v>21</v>
      </c>
      <c r="J1873" s="51">
        <v>900000</v>
      </c>
      <c r="K1873" s="51"/>
      <c r="L1873" s="51">
        <f t="shared" si="106"/>
        <v>900000</v>
      </c>
    </row>
    <row r="1874" spans="1:12" ht="15" x14ac:dyDescent="0.2">
      <c r="A1874" s="476"/>
      <c r="B1874" s="43"/>
      <c r="C1874" s="403"/>
      <c r="D1874" s="476"/>
      <c r="E1874" s="518"/>
      <c r="F1874" s="284"/>
      <c r="G1874" s="41"/>
      <c r="H1874" s="284"/>
      <c r="I1874" s="24"/>
      <c r="J1874" s="28"/>
      <c r="K1874" s="28"/>
      <c r="L1874" s="68"/>
    </row>
    <row r="1875" spans="1:12" x14ac:dyDescent="0.2">
      <c r="D1875" s="476"/>
      <c r="E1875" s="518"/>
      <c r="F1875" s="284"/>
      <c r="G1875" s="47" t="s">
        <v>37</v>
      </c>
      <c r="H1875" s="285"/>
      <c r="I1875" s="194" t="s">
        <v>38</v>
      </c>
      <c r="J1875" s="51">
        <f>SUM(J1858:J1873)</f>
        <v>23673200</v>
      </c>
      <c r="K1875" s="51"/>
      <c r="L1875" s="51">
        <f>SUM(J1875+K1875)</f>
        <v>23673200</v>
      </c>
    </row>
    <row r="1876" spans="1:12" x14ac:dyDescent="0.2">
      <c r="D1876" s="476"/>
      <c r="E1876" s="518"/>
      <c r="F1876" s="284"/>
      <c r="G1876" s="47" t="s">
        <v>55</v>
      </c>
      <c r="H1876" s="285"/>
      <c r="I1876" s="194" t="s">
        <v>56</v>
      </c>
      <c r="J1876" s="51"/>
      <c r="K1876" s="51">
        <f>SUM(K1858:K1873)</f>
        <v>1130000</v>
      </c>
      <c r="L1876" s="51">
        <f>SUM(J1876+K1876)</f>
        <v>1130000</v>
      </c>
    </row>
    <row r="1877" spans="1:12" x14ac:dyDescent="0.2">
      <c r="D1877" s="476"/>
      <c r="E1877" s="523"/>
      <c r="F1877" s="406"/>
      <c r="G1877" s="41"/>
      <c r="H1877" s="285"/>
      <c r="I1877" s="202" t="s">
        <v>293</v>
      </c>
      <c r="J1877" s="52">
        <f>SUM(J1858:J1873)</f>
        <v>23673200</v>
      </c>
      <c r="K1877" s="52">
        <f>SUM(K1858:K1873)</f>
        <v>1130000</v>
      </c>
      <c r="L1877" s="52">
        <f>SUM(L1858:L1873)</f>
        <v>24803200</v>
      </c>
    </row>
    <row r="1878" spans="1:12" ht="15" x14ac:dyDescent="0.25">
      <c r="D1878" s="476"/>
      <c r="E1878" s="518"/>
      <c r="F1878" s="284"/>
      <c r="G1878" s="203"/>
      <c r="H1878" s="288"/>
      <c r="I1878" s="618"/>
      <c r="J1878" s="331"/>
      <c r="K1878" s="331"/>
      <c r="L1878" s="330"/>
    </row>
    <row r="1879" spans="1:12" ht="15" x14ac:dyDescent="0.25">
      <c r="D1879" s="476"/>
      <c r="E1879" s="519"/>
      <c r="F1879" s="404"/>
      <c r="G1879" s="302"/>
      <c r="H1879" s="434"/>
      <c r="I1879" s="363" t="s">
        <v>237</v>
      </c>
      <c r="J1879" s="364"/>
      <c r="K1879" s="364"/>
      <c r="L1879" s="382"/>
    </row>
    <row r="1880" spans="1:12" ht="15" x14ac:dyDescent="0.25">
      <c r="D1880" s="476"/>
      <c r="E1880" s="519" t="s">
        <v>238</v>
      </c>
      <c r="F1880" s="404"/>
      <c r="G1880" s="302"/>
      <c r="H1880" s="434"/>
      <c r="I1880" s="365" t="s">
        <v>446</v>
      </c>
      <c r="J1880" s="366"/>
      <c r="K1880" s="366"/>
      <c r="L1880" s="369"/>
    </row>
    <row r="1881" spans="1:12" x14ac:dyDescent="0.2">
      <c r="D1881" s="476"/>
      <c r="E1881" s="518"/>
      <c r="F1881" s="284"/>
      <c r="G1881" s="41"/>
      <c r="H1881" s="284"/>
      <c r="I1881" s="24"/>
      <c r="J1881" s="28"/>
      <c r="K1881" s="28"/>
      <c r="L1881" s="68"/>
    </row>
    <row r="1882" spans="1:12" ht="15" x14ac:dyDescent="0.2">
      <c r="A1882" s="476"/>
      <c r="B1882" s="43"/>
      <c r="C1882" s="403"/>
      <c r="D1882" s="476"/>
      <c r="E1882" s="518"/>
      <c r="F1882" s="284">
        <v>360</v>
      </c>
      <c r="G1882" s="41"/>
      <c r="H1882" s="284">
        <v>423</v>
      </c>
      <c r="I1882" s="194" t="s">
        <v>9</v>
      </c>
      <c r="J1882" s="51">
        <v>1550000</v>
      </c>
      <c r="K1882" s="51">
        <v>380000</v>
      </c>
      <c r="L1882" s="51">
        <f>SUM(J1882+K1882)</f>
        <v>1930000</v>
      </c>
    </row>
    <row r="1883" spans="1:12" ht="15" x14ac:dyDescent="0.2">
      <c r="A1883" s="476"/>
      <c r="B1883" s="43"/>
      <c r="C1883" s="403"/>
      <c r="D1883" s="476"/>
      <c r="E1883" s="518"/>
      <c r="F1883" s="284">
        <v>361</v>
      </c>
      <c r="G1883" s="41"/>
      <c r="H1883" s="284">
        <v>424</v>
      </c>
      <c r="I1883" s="194" t="s">
        <v>10</v>
      </c>
      <c r="J1883" s="51">
        <v>300000</v>
      </c>
      <c r="K1883" s="51">
        <v>40000</v>
      </c>
      <c r="L1883" s="51">
        <f>SUM(J1883+K1883)</f>
        <v>340000</v>
      </c>
    </row>
    <row r="1884" spans="1:12" ht="15" x14ac:dyDescent="0.2">
      <c r="A1884" s="476"/>
      <c r="B1884" s="43"/>
      <c r="C1884" s="403"/>
      <c r="D1884" s="476"/>
      <c r="E1884" s="518"/>
      <c r="F1884" s="284">
        <v>362</v>
      </c>
      <c r="G1884" s="41"/>
      <c r="H1884" s="284">
        <v>515</v>
      </c>
      <c r="I1884" s="194" t="s">
        <v>23</v>
      </c>
      <c r="J1884" s="51">
        <v>1000000</v>
      </c>
      <c r="K1884" s="51">
        <v>400000</v>
      </c>
      <c r="L1884" s="51">
        <f>SUM(J1884+K1884)</f>
        <v>1400000</v>
      </c>
    </row>
    <row r="1885" spans="1:12" ht="15" x14ac:dyDescent="0.2">
      <c r="A1885" s="476"/>
      <c r="B1885" s="43"/>
      <c r="C1885" s="403"/>
      <c r="D1885" s="476"/>
      <c r="E1885" s="518"/>
      <c r="F1885" s="284"/>
      <c r="G1885" s="41"/>
      <c r="H1885" s="285"/>
      <c r="I1885" s="24"/>
      <c r="J1885" s="28"/>
      <c r="K1885" s="28"/>
      <c r="L1885" s="68"/>
    </row>
    <row r="1886" spans="1:12" ht="15" x14ac:dyDescent="0.2">
      <c r="A1886" s="476"/>
      <c r="B1886" s="43"/>
      <c r="C1886" s="403"/>
      <c r="D1886" s="476"/>
      <c r="E1886" s="518"/>
      <c r="F1886" s="284"/>
      <c r="G1886" s="47" t="s">
        <v>37</v>
      </c>
      <c r="H1886" s="285"/>
      <c r="I1886" s="194" t="s">
        <v>38</v>
      </c>
      <c r="J1886" s="51">
        <f>SUM(J1889-J1888)</f>
        <v>2550000</v>
      </c>
      <c r="K1886" s="51"/>
      <c r="L1886" s="51">
        <f>SUM(J1886+K1886)</f>
        <v>2550000</v>
      </c>
    </row>
    <row r="1887" spans="1:12" ht="15" x14ac:dyDescent="0.2">
      <c r="A1887" s="476"/>
      <c r="B1887" s="43"/>
      <c r="C1887" s="403"/>
      <c r="D1887" s="476"/>
      <c r="E1887" s="518"/>
      <c r="F1887" s="284"/>
      <c r="G1887" s="47" t="s">
        <v>55</v>
      </c>
      <c r="H1887" s="285"/>
      <c r="I1887" s="194" t="s">
        <v>56</v>
      </c>
      <c r="J1887" s="51"/>
      <c r="K1887" s="51">
        <f>SUM(K1882:K1884)</f>
        <v>820000</v>
      </c>
      <c r="L1887" s="51">
        <f>SUM(J1887+K1887)</f>
        <v>820000</v>
      </c>
    </row>
    <row r="1888" spans="1:12" x14ac:dyDescent="0.2">
      <c r="D1888" s="476"/>
      <c r="E1888" s="518"/>
      <c r="F1888" s="284"/>
      <c r="G1888" s="47" t="s">
        <v>113</v>
      </c>
      <c r="H1888" s="286"/>
      <c r="I1888" s="194" t="s">
        <v>280</v>
      </c>
      <c r="J1888" s="51">
        <v>300000</v>
      </c>
      <c r="K1888" s="51"/>
      <c r="L1888" s="51">
        <f>SUM(J1888+K1888)</f>
        <v>300000</v>
      </c>
    </row>
    <row r="1889" spans="1:12" x14ac:dyDescent="0.2">
      <c r="E1889" s="518"/>
      <c r="F1889" s="284"/>
      <c r="G1889" s="41"/>
      <c r="H1889" s="284"/>
      <c r="I1889" s="202" t="s">
        <v>294</v>
      </c>
      <c r="J1889" s="52">
        <f>SUM(J1882:J1884)</f>
        <v>2850000</v>
      </c>
      <c r="K1889" s="52">
        <f t="shared" ref="K1889:L1889" si="107">SUM(K1882:K1884)</f>
        <v>820000</v>
      </c>
      <c r="L1889" s="52">
        <f t="shared" si="107"/>
        <v>3670000</v>
      </c>
    </row>
    <row r="1890" spans="1:12" x14ac:dyDescent="0.2">
      <c r="B1890" s="463"/>
      <c r="D1890" s="43"/>
      <c r="E1890" s="518"/>
      <c r="F1890" s="284"/>
      <c r="G1890" s="41"/>
      <c r="H1890" s="284"/>
      <c r="I1890" s="130"/>
      <c r="J1890" s="167"/>
      <c r="K1890" s="167"/>
      <c r="L1890" s="300"/>
    </row>
    <row r="1891" spans="1:12" x14ac:dyDescent="0.2">
      <c r="B1891" s="43"/>
      <c r="D1891" s="43"/>
      <c r="E1891" s="518"/>
      <c r="F1891" s="284"/>
      <c r="G1891" s="41"/>
      <c r="H1891" s="285"/>
      <c r="I1891" s="781" t="s">
        <v>698</v>
      </c>
      <c r="J1891" s="782">
        <f>SUM(J1889+J1877)</f>
        <v>26523200</v>
      </c>
      <c r="K1891" s="782">
        <f t="shared" ref="K1891:L1891" si="108">SUM(K1889+K1877)</f>
        <v>1950000</v>
      </c>
      <c r="L1891" s="782">
        <f t="shared" si="108"/>
        <v>28473200</v>
      </c>
    </row>
    <row r="1892" spans="1:12" x14ac:dyDescent="0.2">
      <c r="B1892" s="43"/>
      <c r="D1892" s="43"/>
      <c r="E1892" s="518"/>
      <c r="F1892" s="284"/>
      <c r="G1892" s="41"/>
      <c r="H1892" s="285"/>
      <c r="I1892" s="26"/>
      <c r="J1892" s="223"/>
      <c r="K1892" s="223"/>
      <c r="L1892" s="224"/>
    </row>
    <row r="1893" spans="1:12" x14ac:dyDescent="0.2">
      <c r="B1893" s="43">
        <v>5</v>
      </c>
      <c r="D1893" s="43"/>
      <c r="E1893" s="523"/>
      <c r="F1893" s="284"/>
      <c r="G1893" s="41"/>
      <c r="H1893" s="584"/>
      <c r="I1893" s="260" t="s">
        <v>85</v>
      </c>
      <c r="J1893" s="329"/>
      <c r="K1893" s="329"/>
      <c r="L1893" s="330"/>
    </row>
    <row r="1894" spans="1:12" ht="15" x14ac:dyDescent="0.25">
      <c r="A1894" s="648"/>
      <c r="B1894" s="583"/>
      <c r="C1894" s="583"/>
      <c r="D1894" s="583"/>
      <c r="E1894" s="563"/>
      <c r="F1894" s="284"/>
      <c r="G1894" s="41"/>
      <c r="H1894" s="288"/>
      <c r="I1894" s="206"/>
      <c r="J1894" s="223"/>
      <c r="K1894" s="223"/>
      <c r="L1894" s="224"/>
    </row>
    <row r="1895" spans="1:12" ht="15" x14ac:dyDescent="0.25">
      <c r="D1895" s="476"/>
      <c r="E1895" s="519"/>
      <c r="F1895" s="404"/>
      <c r="G1895" s="302"/>
      <c r="H1895" s="434"/>
      <c r="I1895" s="363" t="s">
        <v>272</v>
      </c>
      <c r="J1895" s="656"/>
      <c r="K1895" s="656"/>
      <c r="L1895" s="377"/>
    </row>
    <row r="1896" spans="1:12" ht="15" x14ac:dyDescent="0.25">
      <c r="D1896" s="476"/>
      <c r="E1896" s="519" t="s">
        <v>234</v>
      </c>
      <c r="F1896" s="404"/>
      <c r="G1896" s="302"/>
      <c r="H1896" s="434"/>
      <c r="I1896" s="365" t="s">
        <v>235</v>
      </c>
      <c r="J1896" s="613"/>
      <c r="K1896" s="613"/>
      <c r="L1896" s="380"/>
    </row>
    <row r="1897" spans="1:12" ht="15" x14ac:dyDescent="0.25">
      <c r="D1897" s="476"/>
      <c r="E1897" s="518"/>
      <c r="F1897" s="284"/>
      <c r="G1897" s="294"/>
      <c r="H1897" s="288"/>
      <c r="I1897" s="239"/>
      <c r="J1897" s="223"/>
      <c r="K1897" s="223"/>
      <c r="L1897" s="224"/>
    </row>
    <row r="1898" spans="1:12" x14ac:dyDescent="0.2">
      <c r="D1898" s="476"/>
      <c r="E1898" s="518"/>
      <c r="F1898" s="284">
        <v>363</v>
      </c>
      <c r="G1898" s="41"/>
      <c r="H1898" s="284">
        <v>411</v>
      </c>
      <c r="I1898" s="194" t="s">
        <v>2</v>
      </c>
      <c r="J1898" s="195">
        <v>8539500</v>
      </c>
      <c r="K1898" s="195">
        <v>100085</v>
      </c>
      <c r="L1898" s="51">
        <f t="shared" ref="L1898:L1916" si="109">SUM(J1898+K1898)</f>
        <v>8639585</v>
      </c>
    </row>
    <row r="1899" spans="1:12" x14ac:dyDescent="0.2">
      <c r="D1899" s="476"/>
      <c r="E1899" s="518"/>
      <c r="F1899" s="284">
        <v>364</v>
      </c>
      <c r="G1899" s="41"/>
      <c r="H1899" s="284">
        <v>412</v>
      </c>
      <c r="I1899" s="243" t="s">
        <v>3</v>
      </c>
      <c r="J1899" s="195">
        <v>1465000</v>
      </c>
      <c r="K1899" s="195">
        <v>17165</v>
      </c>
      <c r="L1899" s="51">
        <f t="shared" si="109"/>
        <v>1482165</v>
      </c>
    </row>
    <row r="1900" spans="1:12" x14ac:dyDescent="0.2">
      <c r="D1900" s="476"/>
      <c r="E1900" s="518"/>
      <c r="F1900" s="284">
        <v>365</v>
      </c>
      <c r="G1900" s="41"/>
      <c r="H1900" s="284">
        <v>413</v>
      </c>
      <c r="I1900" s="243" t="s">
        <v>33</v>
      </c>
      <c r="J1900" s="56">
        <v>130000</v>
      </c>
      <c r="K1900" s="195">
        <v>20000</v>
      </c>
      <c r="L1900" s="51">
        <f t="shared" si="109"/>
        <v>150000</v>
      </c>
    </row>
    <row r="1901" spans="1:12" x14ac:dyDescent="0.2">
      <c r="D1901" s="476"/>
      <c r="E1901" s="518"/>
      <c r="F1901" s="284">
        <v>366</v>
      </c>
      <c r="G1901" s="41"/>
      <c r="H1901" s="284">
        <v>414</v>
      </c>
      <c r="I1901" s="194" t="s">
        <v>34</v>
      </c>
      <c r="J1901" s="56">
        <v>970000</v>
      </c>
      <c r="K1901" s="195">
        <v>2200000</v>
      </c>
      <c r="L1901" s="51">
        <f t="shared" si="109"/>
        <v>3170000</v>
      </c>
    </row>
    <row r="1902" spans="1:12" x14ac:dyDescent="0.2">
      <c r="D1902" s="476"/>
      <c r="E1902" s="518"/>
      <c r="F1902" s="284">
        <v>367</v>
      </c>
      <c r="G1902" s="41"/>
      <c r="H1902" s="284">
        <v>415</v>
      </c>
      <c r="I1902" s="243" t="s">
        <v>5</v>
      </c>
      <c r="J1902" s="56">
        <v>340000</v>
      </c>
      <c r="K1902" s="195"/>
      <c r="L1902" s="51">
        <f t="shared" si="109"/>
        <v>340000</v>
      </c>
    </row>
    <row r="1903" spans="1:12" x14ac:dyDescent="0.2">
      <c r="D1903" s="476"/>
      <c r="E1903" s="518"/>
      <c r="F1903" s="284">
        <v>368</v>
      </c>
      <c r="G1903" s="41"/>
      <c r="H1903" s="284">
        <v>416</v>
      </c>
      <c r="I1903" s="243" t="s">
        <v>6</v>
      </c>
      <c r="J1903" s="56">
        <v>670000</v>
      </c>
      <c r="K1903" s="195"/>
      <c r="L1903" s="51">
        <f t="shared" si="109"/>
        <v>670000</v>
      </c>
    </row>
    <row r="1904" spans="1:12" x14ac:dyDescent="0.2">
      <c r="D1904" s="476"/>
      <c r="E1904" s="518"/>
      <c r="F1904" s="284">
        <v>369</v>
      </c>
      <c r="G1904" s="41"/>
      <c r="H1904" s="284">
        <v>421</v>
      </c>
      <c r="I1904" s="243" t="s">
        <v>7</v>
      </c>
      <c r="J1904" s="56">
        <v>5300000</v>
      </c>
      <c r="K1904" s="195">
        <v>120000</v>
      </c>
      <c r="L1904" s="51">
        <f t="shared" si="109"/>
        <v>5420000</v>
      </c>
    </row>
    <row r="1905" spans="1:12" x14ac:dyDescent="0.2">
      <c r="D1905" s="476"/>
      <c r="E1905" s="518"/>
      <c r="F1905" s="284">
        <v>370</v>
      </c>
      <c r="G1905" s="41"/>
      <c r="H1905" s="284">
        <v>422</v>
      </c>
      <c r="I1905" s="194" t="s">
        <v>8</v>
      </c>
      <c r="J1905" s="56">
        <v>440000</v>
      </c>
      <c r="K1905" s="195">
        <v>270000</v>
      </c>
      <c r="L1905" s="51">
        <f t="shared" si="109"/>
        <v>710000</v>
      </c>
    </row>
    <row r="1906" spans="1:12" x14ac:dyDescent="0.2">
      <c r="D1906" s="476"/>
      <c r="E1906" s="518"/>
      <c r="F1906" s="284">
        <v>371</v>
      </c>
      <c r="G1906" s="41"/>
      <c r="H1906" s="284">
        <v>423</v>
      </c>
      <c r="I1906" s="194" t="s">
        <v>9</v>
      </c>
      <c r="J1906" s="56">
        <v>2960000</v>
      </c>
      <c r="K1906" s="195">
        <v>700000</v>
      </c>
      <c r="L1906" s="51">
        <f t="shared" si="109"/>
        <v>3660000</v>
      </c>
    </row>
    <row r="1907" spans="1:12" x14ac:dyDescent="0.2">
      <c r="D1907" s="476"/>
      <c r="E1907" s="518"/>
      <c r="F1907" s="284">
        <v>372</v>
      </c>
      <c r="G1907" s="41"/>
      <c r="H1907" s="284">
        <v>424</v>
      </c>
      <c r="I1907" s="194" t="s">
        <v>10</v>
      </c>
      <c r="J1907" s="56">
        <v>3100000</v>
      </c>
      <c r="K1907" s="195">
        <v>3000000</v>
      </c>
      <c r="L1907" s="51">
        <f t="shared" si="109"/>
        <v>6100000</v>
      </c>
    </row>
    <row r="1908" spans="1:12" x14ac:dyDescent="0.2">
      <c r="D1908" s="476"/>
      <c r="E1908" s="518"/>
      <c r="F1908" s="284">
        <v>373</v>
      </c>
      <c r="G1908" s="41"/>
      <c r="H1908" s="284">
        <v>425</v>
      </c>
      <c r="I1908" s="194" t="s">
        <v>11</v>
      </c>
      <c r="J1908" s="56">
        <v>3050000</v>
      </c>
      <c r="K1908" s="195">
        <v>30000</v>
      </c>
      <c r="L1908" s="51">
        <f t="shared" si="109"/>
        <v>3080000</v>
      </c>
    </row>
    <row r="1909" spans="1:12" x14ac:dyDescent="0.2">
      <c r="D1909" s="476"/>
      <c r="E1909" s="518"/>
      <c r="F1909" s="284">
        <v>374</v>
      </c>
      <c r="G1909" s="41"/>
      <c r="H1909" s="284">
        <v>426</v>
      </c>
      <c r="I1909" s="194" t="s">
        <v>35</v>
      </c>
      <c r="J1909" s="56">
        <v>810000</v>
      </c>
      <c r="K1909" s="195">
        <v>730000</v>
      </c>
      <c r="L1909" s="51">
        <f t="shared" si="109"/>
        <v>1540000</v>
      </c>
    </row>
    <row r="1910" spans="1:12" x14ac:dyDescent="0.2">
      <c r="D1910" s="476"/>
      <c r="E1910" s="518"/>
      <c r="F1910" s="284">
        <v>375</v>
      </c>
      <c r="G1910" s="41"/>
      <c r="H1910" s="284">
        <v>431</v>
      </c>
      <c r="I1910" s="194" t="s">
        <v>12</v>
      </c>
      <c r="J1910" s="56"/>
      <c r="K1910" s="195">
        <v>150000</v>
      </c>
      <c r="L1910" s="51">
        <f t="shared" si="109"/>
        <v>150000</v>
      </c>
    </row>
    <row r="1911" spans="1:12" x14ac:dyDescent="0.2">
      <c r="D1911" s="476"/>
      <c r="E1911" s="518"/>
      <c r="F1911" s="284">
        <v>376</v>
      </c>
      <c r="G1911" s="41"/>
      <c r="H1911" s="284">
        <v>465</v>
      </c>
      <c r="I1911" s="194" t="s">
        <v>221</v>
      </c>
      <c r="J1911" s="56">
        <v>1006900</v>
      </c>
      <c r="K1911" s="195">
        <v>11800</v>
      </c>
      <c r="L1911" s="51">
        <f t="shared" si="109"/>
        <v>1018700</v>
      </c>
    </row>
    <row r="1912" spans="1:12" x14ac:dyDescent="0.2">
      <c r="D1912" s="476"/>
      <c r="E1912" s="518"/>
      <c r="F1912" s="284">
        <v>377</v>
      </c>
      <c r="G1912" s="41"/>
      <c r="H1912" s="284">
        <v>482</v>
      </c>
      <c r="I1912" s="194" t="s">
        <v>17</v>
      </c>
      <c r="J1912" s="56">
        <v>100000</v>
      </c>
      <c r="K1912" s="195">
        <v>17000</v>
      </c>
      <c r="L1912" s="51">
        <f t="shared" si="109"/>
        <v>117000</v>
      </c>
    </row>
    <row r="1913" spans="1:12" x14ac:dyDescent="0.2">
      <c r="D1913" s="476"/>
      <c r="E1913" s="518"/>
      <c r="F1913" s="284">
        <v>378</v>
      </c>
      <c r="G1913" s="41"/>
      <c r="H1913" s="284">
        <v>483</v>
      </c>
      <c r="I1913" s="194" t="s">
        <v>104</v>
      </c>
      <c r="J1913" s="56">
        <v>3000000</v>
      </c>
      <c r="K1913" s="195"/>
      <c r="L1913" s="51">
        <f t="shared" si="109"/>
        <v>3000000</v>
      </c>
    </row>
    <row r="1914" spans="1:12" ht="15" customHeight="1" x14ac:dyDescent="0.2">
      <c r="D1914" s="476"/>
      <c r="E1914" s="518"/>
      <c r="F1914" s="284">
        <v>379</v>
      </c>
      <c r="G1914" s="41"/>
      <c r="H1914" s="284">
        <v>512</v>
      </c>
      <c r="I1914" s="194" t="s">
        <v>21</v>
      </c>
      <c r="J1914" s="56">
        <v>1100000</v>
      </c>
      <c r="K1914" s="195">
        <v>300000</v>
      </c>
      <c r="L1914" s="51">
        <f t="shared" si="109"/>
        <v>1400000</v>
      </c>
    </row>
    <row r="1915" spans="1:12" ht="15" x14ac:dyDescent="0.2">
      <c r="A1915" s="476"/>
      <c r="B1915" s="43"/>
      <c r="C1915" s="403"/>
      <c r="D1915" s="476"/>
      <c r="E1915" s="518"/>
      <c r="F1915" s="284">
        <v>380</v>
      </c>
      <c r="G1915" s="41"/>
      <c r="H1915" s="284">
        <v>515</v>
      </c>
      <c r="I1915" s="194" t="s">
        <v>640</v>
      </c>
      <c r="J1915" s="56">
        <v>500000</v>
      </c>
      <c r="K1915" s="195"/>
      <c r="L1915" s="51">
        <f t="shared" si="109"/>
        <v>500000</v>
      </c>
    </row>
    <row r="1916" spans="1:12" ht="15" x14ac:dyDescent="0.2">
      <c r="A1916" s="476"/>
      <c r="B1916" s="43"/>
      <c r="C1916" s="403"/>
      <c r="D1916" s="476"/>
      <c r="E1916" s="518"/>
      <c r="F1916" s="284">
        <v>381</v>
      </c>
      <c r="G1916" s="41"/>
      <c r="H1916" s="284">
        <v>523</v>
      </c>
      <c r="I1916" s="194" t="s">
        <v>24</v>
      </c>
      <c r="J1916" s="56"/>
      <c r="K1916" s="195">
        <v>2200000</v>
      </c>
      <c r="L1916" s="51">
        <f t="shared" si="109"/>
        <v>2200000</v>
      </c>
    </row>
    <row r="1917" spans="1:12" ht="15" x14ac:dyDescent="0.25">
      <c r="A1917" s="476"/>
      <c r="B1917" s="43"/>
      <c r="C1917" s="403"/>
      <c r="D1917" s="476"/>
      <c r="E1917" s="518"/>
      <c r="F1917" s="284"/>
      <c r="G1917" s="41"/>
      <c r="H1917" s="288"/>
      <c r="I1917" s="714"/>
      <c r="J1917" s="715"/>
      <c r="K1917" s="716"/>
      <c r="L1917" s="587"/>
    </row>
    <row r="1918" spans="1:12" ht="15" x14ac:dyDescent="0.25">
      <c r="A1918" s="476"/>
      <c r="B1918" s="43"/>
      <c r="C1918" s="403"/>
      <c r="D1918" s="476"/>
      <c r="E1918" s="518"/>
      <c r="F1918" s="284"/>
      <c r="G1918" s="47" t="s">
        <v>37</v>
      </c>
      <c r="H1918" s="288"/>
      <c r="I1918" s="194" t="s">
        <v>38</v>
      </c>
      <c r="J1918" s="51">
        <f>SUM(J1923-J1920)</f>
        <v>33481400</v>
      </c>
      <c r="K1918" s="51"/>
      <c r="L1918" s="51">
        <f>SUM(J1918:K1918)</f>
        <v>33481400</v>
      </c>
    </row>
    <row r="1919" spans="1:12" ht="24.75" customHeight="1" x14ac:dyDescent="0.2">
      <c r="A1919" s="476"/>
      <c r="B1919" s="43"/>
      <c r="C1919" s="403"/>
      <c r="D1919" s="476"/>
      <c r="E1919" s="518"/>
      <c r="F1919" s="284"/>
      <c r="G1919" s="47" t="s">
        <v>55</v>
      </c>
      <c r="H1919" s="285"/>
      <c r="I1919" s="194" t="s">
        <v>56</v>
      </c>
      <c r="J1919" s="51"/>
      <c r="K1919" s="51">
        <f>SUM(K1923-K1922-K1921-K1920)</f>
        <v>2216050</v>
      </c>
      <c r="L1919" s="51">
        <f t="shared" ref="L1919:L1922" si="110">SUM(J1919:K1919)</f>
        <v>2216050</v>
      </c>
    </row>
    <row r="1920" spans="1:12" ht="15" x14ac:dyDescent="0.2">
      <c r="A1920" s="476"/>
      <c r="B1920" s="43"/>
      <c r="C1920" s="403"/>
      <c r="D1920" s="476"/>
      <c r="E1920" s="518"/>
      <c r="F1920" s="284"/>
      <c r="G1920" s="47" t="s">
        <v>113</v>
      </c>
      <c r="H1920" s="284"/>
      <c r="I1920" s="194" t="s">
        <v>280</v>
      </c>
      <c r="J1920" s="51"/>
      <c r="K1920" s="51">
        <v>2200000</v>
      </c>
      <c r="L1920" s="51">
        <f t="shared" si="110"/>
        <v>2200000</v>
      </c>
    </row>
    <row r="1921" spans="1:12" x14ac:dyDescent="0.2">
      <c r="D1921" s="476"/>
      <c r="E1921" s="518"/>
      <c r="F1921" s="284"/>
      <c r="G1921" s="47" t="s">
        <v>260</v>
      </c>
      <c r="H1921" s="292"/>
      <c r="I1921" s="194" t="s">
        <v>261</v>
      </c>
      <c r="J1921" s="51"/>
      <c r="K1921" s="51">
        <v>4950000</v>
      </c>
      <c r="L1921" s="51">
        <f t="shared" si="110"/>
        <v>4950000</v>
      </c>
    </row>
    <row r="1922" spans="1:12" x14ac:dyDescent="0.2">
      <c r="D1922" s="476"/>
      <c r="E1922" s="518"/>
      <c r="F1922" s="284"/>
      <c r="G1922" s="47" t="s">
        <v>641</v>
      </c>
      <c r="H1922" s="292"/>
      <c r="I1922" s="194" t="s">
        <v>642</v>
      </c>
      <c r="J1922" s="51"/>
      <c r="K1922" s="51">
        <v>500000</v>
      </c>
      <c r="L1922" s="51">
        <f t="shared" si="110"/>
        <v>500000</v>
      </c>
    </row>
    <row r="1923" spans="1:12" x14ac:dyDescent="0.2">
      <c r="D1923" s="476"/>
      <c r="E1923" s="523"/>
      <c r="F1923" s="284"/>
      <c r="G1923" s="41"/>
      <c r="H1923" s="717"/>
      <c r="I1923" s="202" t="s">
        <v>293</v>
      </c>
      <c r="J1923" s="52">
        <f>SUM(J1898:J1916)</f>
        <v>33481400</v>
      </c>
      <c r="K1923" s="52">
        <f t="shared" ref="K1923:L1923" si="111">SUM(K1898:K1916)</f>
        <v>9866050</v>
      </c>
      <c r="L1923" s="52">
        <f t="shared" si="111"/>
        <v>43347450</v>
      </c>
    </row>
    <row r="1924" spans="1:12" ht="15" x14ac:dyDescent="0.25">
      <c r="A1924" s="648"/>
      <c r="B1924" s="648"/>
      <c r="C1924" s="583"/>
      <c r="D1924" s="582"/>
      <c r="E1924" s="563"/>
      <c r="F1924" s="292"/>
      <c r="G1924" s="41"/>
      <c r="H1924" s="288"/>
      <c r="I1924" s="191"/>
      <c r="J1924" s="198"/>
      <c r="K1924" s="718"/>
      <c r="L1924" s="53"/>
    </row>
    <row r="1925" spans="1:12" ht="15" x14ac:dyDescent="0.25">
      <c r="D1925" s="476"/>
      <c r="E1925" s="519"/>
      <c r="F1925" s="454"/>
      <c r="G1925" s="606"/>
      <c r="H1925" s="434"/>
      <c r="I1925" s="608" t="s">
        <v>237</v>
      </c>
      <c r="J1925" s="719"/>
      <c r="K1925" s="720"/>
      <c r="L1925" s="377"/>
    </row>
    <row r="1926" spans="1:12" ht="15" x14ac:dyDescent="0.25">
      <c r="D1926" s="476"/>
      <c r="E1926" s="519" t="s">
        <v>238</v>
      </c>
      <c r="F1926" s="454"/>
      <c r="G1926" s="606"/>
      <c r="H1926" s="434"/>
      <c r="I1926" s="612" t="s">
        <v>446</v>
      </c>
      <c r="J1926" s="378"/>
      <c r="K1926" s="379"/>
      <c r="L1926" s="380"/>
    </row>
    <row r="1927" spans="1:12" x14ac:dyDescent="0.2">
      <c r="D1927" s="476"/>
      <c r="E1927" s="518"/>
      <c r="F1927" s="292"/>
      <c r="G1927" s="603"/>
      <c r="H1927" s="284"/>
      <c r="I1927" s="605"/>
      <c r="J1927" s="235"/>
      <c r="K1927" s="218"/>
      <c r="L1927" s="224"/>
    </row>
    <row r="1928" spans="1:12" x14ac:dyDescent="0.2">
      <c r="D1928" s="476"/>
      <c r="E1928" s="518"/>
      <c r="F1928" s="292">
        <v>382</v>
      </c>
      <c r="G1928" s="70"/>
      <c r="H1928" s="292">
        <v>423</v>
      </c>
      <c r="I1928" s="248" t="s">
        <v>9</v>
      </c>
      <c r="J1928" s="45">
        <v>1170000</v>
      </c>
      <c r="K1928" s="204">
        <v>20000</v>
      </c>
      <c r="L1928" s="46">
        <f>SUM(J1928+K1928)</f>
        <v>1190000</v>
      </c>
    </row>
    <row r="1929" spans="1:12" ht="15" x14ac:dyDescent="0.2">
      <c r="A1929" s="476"/>
      <c r="B1929" s="43"/>
      <c r="C1929" s="403"/>
      <c r="D1929" s="476"/>
      <c r="E1929" s="518"/>
      <c r="F1929" s="292">
        <v>383</v>
      </c>
      <c r="G1929" s="70"/>
      <c r="H1929" s="292">
        <v>424</v>
      </c>
      <c r="I1929" s="248" t="s">
        <v>10</v>
      </c>
      <c r="J1929" s="45">
        <v>15110000</v>
      </c>
      <c r="K1929" s="204">
        <v>4000000</v>
      </c>
      <c r="L1929" s="46">
        <f>SUM(J1929+K1929)</f>
        <v>19110000</v>
      </c>
    </row>
    <row r="1930" spans="1:12" ht="15" x14ac:dyDescent="0.2">
      <c r="A1930" s="476"/>
      <c r="B1930" s="43"/>
      <c r="C1930" s="403"/>
      <c r="D1930" s="476"/>
      <c r="E1930" s="518"/>
      <c r="F1930" s="284">
        <v>384</v>
      </c>
      <c r="G1930" s="70"/>
      <c r="H1930" s="292">
        <v>426</v>
      </c>
      <c r="I1930" s="248" t="s">
        <v>35</v>
      </c>
      <c r="J1930" s="45">
        <v>200000</v>
      </c>
      <c r="K1930" s="204">
        <v>80000</v>
      </c>
      <c r="L1930" s="46">
        <f>SUM(J1930+K1930)</f>
        <v>280000</v>
      </c>
    </row>
    <row r="1931" spans="1:12" ht="15" x14ac:dyDescent="0.2">
      <c r="A1931" s="476"/>
      <c r="B1931" s="43"/>
      <c r="C1931" s="403"/>
      <c r="D1931" s="476"/>
      <c r="E1931" s="518"/>
      <c r="F1931" s="284"/>
      <c r="G1931" s="41"/>
      <c r="H1931" s="285"/>
      <c r="I1931" s="637"/>
      <c r="J1931" s="237"/>
      <c r="K1931" s="217"/>
      <c r="L1931" s="721"/>
    </row>
    <row r="1932" spans="1:12" ht="15" x14ac:dyDescent="0.2">
      <c r="A1932" s="476"/>
      <c r="B1932" s="43"/>
      <c r="C1932" s="403"/>
      <c r="D1932" s="476"/>
      <c r="E1932" s="518"/>
      <c r="F1932" s="284"/>
      <c r="G1932" s="47" t="s">
        <v>37</v>
      </c>
      <c r="H1932" s="285"/>
      <c r="I1932" s="194" t="s">
        <v>38</v>
      </c>
      <c r="J1932" s="51">
        <f>SUM(J1935-J1933)</f>
        <v>15480000</v>
      </c>
      <c r="K1932" s="51"/>
      <c r="L1932" s="51">
        <f>SUM(J1932+K1932)</f>
        <v>15480000</v>
      </c>
    </row>
    <row r="1933" spans="1:12" ht="12.75" customHeight="1" x14ac:dyDescent="0.2">
      <c r="A1933" s="476"/>
      <c r="B1933" s="43"/>
      <c r="C1933" s="403"/>
      <c r="D1933" s="476"/>
      <c r="E1933" s="518"/>
      <c r="F1933" s="284"/>
      <c r="G1933" s="47" t="s">
        <v>113</v>
      </c>
      <c r="H1933" s="285"/>
      <c r="I1933" s="194" t="s">
        <v>280</v>
      </c>
      <c r="J1933" s="51">
        <v>1000000</v>
      </c>
      <c r="K1933" s="51"/>
      <c r="L1933" s="51">
        <f>SUM(J1933+K1933)</f>
        <v>1000000</v>
      </c>
    </row>
    <row r="1934" spans="1:12" ht="14.25" customHeight="1" x14ac:dyDescent="0.2">
      <c r="D1934" s="476"/>
      <c r="E1934" s="518"/>
      <c r="F1934" s="284"/>
      <c r="G1934" s="47" t="s">
        <v>55</v>
      </c>
      <c r="H1934" s="285"/>
      <c r="I1934" s="194" t="s">
        <v>56</v>
      </c>
      <c r="J1934" s="51"/>
      <c r="K1934" s="51">
        <v>4100000</v>
      </c>
      <c r="L1934" s="51">
        <f>SUM(J1934+K1934)</f>
        <v>4100000</v>
      </c>
    </row>
    <row r="1935" spans="1:12" ht="12" customHeight="1" x14ac:dyDescent="0.2">
      <c r="D1935" s="476"/>
      <c r="E1935" s="518"/>
      <c r="F1935" s="284"/>
      <c r="G1935" s="41"/>
      <c r="H1935" s="284"/>
      <c r="I1935" s="202" t="s">
        <v>294</v>
      </c>
      <c r="J1935" s="52">
        <f>SUM(J1928:J1930)</f>
        <v>16480000</v>
      </c>
      <c r="K1935" s="52">
        <f t="shared" ref="K1935:L1935" si="112">SUM(K1928:K1930)</f>
        <v>4100000</v>
      </c>
      <c r="L1935" s="52">
        <f t="shared" si="112"/>
        <v>20580000</v>
      </c>
    </row>
    <row r="1936" spans="1:12" x14ac:dyDescent="0.2">
      <c r="A1936" s="476"/>
      <c r="B1936" s="43"/>
      <c r="E1936" s="523"/>
      <c r="F1936" s="284"/>
      <c r="G1936" s="41"/>
      <c r="H1936" s="284"/>
      <c r="I1936" s="24"/>
      <c r="J1936" s="27"/>
      <c r="K1936" s="27"/>
      <c r="L1936" s="53"/>
    </row>
    <row r="1937" spans="1:13" x14ac:dyDescent="0.2">
      <c r="A1937" s="476"/>
      <c r="B1937" s="43"/>
      <c r="D1937" s="43"/>
      <c r="E1937" s="518"/>
      <c r="F1937" s="284"/>
      <c r="G1937" s="41"/>
      <c r="H1937" s="284"/>
      <c r="I1937" s="781" t="s">
        <v>699</v>
      </c>
      <c r="J1937" s="783">
        <f>SUM(J1923+J1935)</f>
        <v>49961400</v>
      </c>
      <c r="K1937" s="783">
        <f t="shared" ref="K1937:L1937" si="113">SUM(K1923+K1935)</f>
        <v>13966050</v>
      </c>
      <c r="L1937" s="783">
        <f t="shared" si="113"/>
        <v>63927450</v>
      </c>
    </row>
    <row r="1938" spans="1:13" x14ac:dyDescent="0.2">
      <c r="A1938" s="476"/>
      <c r="B1938" s="43"/>
      <c r="E1938" s="518"/>
      <c r="F1938" s="284"/>
      <c r="G1938" s="41"/>
      <c r="H1938" s="284"/>
      <c r="I1938" s="24"/>
      <c r="J1938" s="167"/>
      <c r="K1938" s="167"/>
      <c r="L1938" s="300"/>
    </row>
    <row r="1939" spans="1:13" ht="15" x14ac:dyDescent="0.25">
      <c r="B1939" s="43"/>
      <c r="E1939" s="518"/>
      <c r="F1939" s="284"/>
      <c r="G1939" s="41"/>
      <c r="H1939" s="288"/>
      <c r="I1939" s="206"/>
      <c r="J1939" s="28"/>
      <c r="K1939" s="28"/>
      <c r="L1939" s="68"/>
    </row>
    <row r="1940" spans="1:13" ht="28.5" customHeight="1" x14ac:dyDescent="0.2">
      <c r="B1940" s="43"/>
      <c r="D1940" s="476"/>
      <c r="E1940" s="520" t="s">
        <v>384</v>
      </c>
      <c r="F1940" s="358"/>
      <c r="G1940" s="307"/>
      <c r="H1940" s="405"/>
      <c r="I1940" s="312" t="s">
        <v>804</v>
      </c>
      <c r="J1940" s="71"/>
      <c r="K1940" s="71"/>
      <c r="L1940" s="233"/>
    </row>
    <row r="1941" spans="1:13" x14ac:dyDescent="0.2">
      <c r="B1941" s="160"/>
      <c r="C1941" s="160"/>
      <c r="D1941" s="474"/>
      <c r="E1941" s="518"/>
      <c r="F1941" s="284">
        <v>385</v>
      </c>
      <c r="G1941" s="41"/>
      <c r="H1941" s="284">
        <v>454</v>
      </c>
      <c r="I1941" s="243" t="s">
        <v>115</v>
      </c>
      <c r="J1941" s="51">
        <v>4000000</v>
      </c>
      <c r="K1941" s="51"/>
      <c r="L1941" s="51">
        <f>SUM(J1941+K1941)</f>
        <v>4000000</v>
      </c>
      <c r="M1941" s="1014"/>
    </row>
    <row r="1942" spans="1:13" x14ac:dyDescent="0.2">
      <c r="A1942" s="476"/>
      <c r="B1942" s="43"/>
      <c r="E1942" s="523"/>
      <c r="F1942" s="284"/>
      <c r="G1942" s="41"/>
      <c r="H1942" s="284"/>
      <c r="I1942" s="272" t="s">
        <v>710</v>
      </c>
      <c r="J1942" s="48">
        <f>SUM(J1941)</f>
        <v>4000000</v>
      </c>
      <c r="K1942" s="52"/>
      <c r="L1942" s="52">
        <f>SUM(J1942+K1942)</f>
        <v>4000000</v>
      </c>
      <c r="M1942" s="1013"/>
    </row>
    <row r="1943" spans="1:13" ht="15" x14ac:dyDescent="0.25">
      <c r="A1943" s="476"/>
      <c r="B1943" s="43"/>
      <c r="D1943" s="43"/>
      <c r="E1943" s="518"/>
      <c r="F1943" s="292"/>
      <c r="G1943" s="47" t="s">
        <v>37</v>
      </c>
      <c r="H1943" s="288"/>
      <c r="I1943" s="194" t="s">
        <v>38</v>
      </c>
      <c r="J1943" s="56">
        <f>SUM(J1942)</f>
        <v>4000000</v>
      </c>
      <c r="K1943" s="52"/>
      <c r="L1943" s="51">
        <f>SUM(J1943+K1943)</f>
        <v>4000000</v>
      </c>
    </row>
    <row r="1944" spans="1:13" ht="15" x14ac:dyDescent="0.25">
      <c r="A1944" s="476"/>
      <c r="B1944" s="43"/>
      <c r="D1944" s="43"/>
      <c r="E1944" s="518"/>
      <c r="F1944" s="292"/>
      <c r="G1944" s="47"/>
      <c r="H1944" s="288"/>
      <c r="I1944" s="191"/>
      <c r="J1944" s="162"/>
      <c r="K1944" s="27"/>
      <c r="L1944" s="68"/>
    </row>
    <row r="1945" spans="1:13" ht="22.5" x14ac:dyDescent="0.2">
      <c r="A1945" s="476"/>
      <c r="B1945" s="43"/>
      <c r="D1945" s="43"/>
      <c r="E1945" s="872" t="s">
        <v>384</v>
      </c>
      <c r="F1945" s="873"/>
      <c r="G1945" s="874"/>
      <c r="H1945" s="873"/>
      <c r="I1945" s="890" t="s">
        <v>1059</v>
      </c>
      <c r="J1945" s="892"/>
      <c r="K1945" s="892"/>
      <c r="L1945" s="893"/>
    </row>
    <row r="1946" spans="1:13" x14ac:dyDescent="0.2">
      <c r="A1946" s="476"/>
      <c r="B1946" s="43"/>
      <c r="D1946" s="43"/>
      <c r="E1946" s="769"/>
      <c r="F1946" s="770" t="s">
        <v>1058</v>
      </c>
      <c r="G1946" s="771"/>
      <c r="H1946" s="770">
        <v>454</v>
      </c>
      <c r="I1946" s="912" t="s">
        <v>115</v>
      </c>
      <c r="J1946" s="188">
        <v>500000</v>
      </c>
      <c r="K1946" s="188"/>
      <c r="L1946" s="188">
        <f>SUM(J1946+K1946)</f>
        <v>500000</v>
      </c>
    </row>
    <row r="1947" spans="1:13" x14ac:dyDescent="0.2">
      <c r="A1947" s="476"/>
      <c r="B1947" s="43"/>
      <c r="D1947" s="43"/>
      <c r="E1947" s="913"/>
      <c r="F1947" s="770"/>
      <c r="G1947" s="771"/>
      <c r="H1947" s="770"/>
      <c r="I1947" s="914" t="s">
        <v>710</v>
      </c>
      <c r="J1947" s="896">
        <f>SUM(J1946)</f>
        <v>500000</v>
      </c>
      <c r="K1947" s="839"/>
      <c r="L1947" s="839">
        <f>SUM(J1947+K1947)</f>
        <v>500000</v>
      </c>
    </row>
    <row r="1948" spans="1:13" ht="15" x14ac:dyDescent="0.25">
      <c r="A1948" s="476"/>
      <c r="B1948" s="43"/>
      <c r="D1948" s="43"/>
      <c r="E1948" s="769"/>
      <c r="F1948" s="770"/>
      <c r="G1948" s="887" t="s">
        <v>37</v>
      </c>
      <c r="H1948" s="888"/>
      <c r="I1948" s="838" t="s">
        <v>38</v>
      </c>
      <c r="J1948" s="840">
        <f>SUM(J1947)</f>
        <v>500000</v>
      </c>
      <c r="K1948" s="839"/>
      <c r="L1948" s="188">
        <f>SUM(J1948+K1948)</f>
        <v>500000</v>
      </c>
    </row>
    <row r="1949" spans="1:13" ht="15" x14ac:dyDescent="0.25">
      <c r="A1949" s="476"/>
      <c r="B1949" s="43"/>
      <c r="D1949" s="43"/>
      <c r="E1949" s="769"/>
      <c r="F1949" s="770"/>
      <c r="G1949" s="887"/>
      <c r="H1949" s="888"/>
      <c r="I1949" s="915"/>
      <c r="J1949" s="916"/>
      <c r="K1949" s="917"/>
      <c r="L1949" s="918"/>
    </row>
    <row r="1950" spans="1:13" ht="15" x14ac:dyDescent="0.25">
      <c r="B1950" s="43"/>
      <c r="E1950" s="520" t="s">
        <v>384</v>
      </c>
      <c r="F1950" s="358"/>
      <c r="G1950" s="307"/>
      <c r="H1950" s="431"/>
      <c r="I1950" s="312" t="s">
        <v>803</v>
      </c>
      <c r="J1950" s="71"/>
      <c r="K1950" s="71"/>
      <c r="L1950" s="233"/>
    </row>
    <row r="1951" spans="1:13" ht="14.25" customHeight="1" x14ac:dyDescent="0.2">
      <c r="B1951" s="43"/>
      <c r="D1951" s="476"/>
      <c r="E1951" s="518"/>
      <c r="F1951" s="284">
        <v>386</v>
      </c>
      <c r="G1951" s="41"/>
      <c r="H1951" s="284">
        <v>425</v>
      </c>
      <c r="I1951" s="243" t="s">
        <v>11</v>
      </c>
      <c r="J1951" s="51">
        <v>1500000</v>
      </c>
      <c r="K1951" s="51"/>
      <c r="L1951" s="51">
        <f>SUM(J1951:K1951)</f>
        <v>1500000</v>
      </c>
    </row>
    <row r="1952" spans="1:13" x14ac:dyDescent="0.2">
      <c r="B1952" s="43"/>
      <c r="D1952" s="476"/>
      <c r="E1952" s="518"/>
      <c r="F1952" s="284">
        <v>387</v>
      </c>
      <c r="G1952" s="41"/>
      <c r="H1952" s="284">
        <v>515</v>
      </c>
      <c r="I1952" s="243" t="s">
        <v>23</v>
      </c>
      <c r="J1952" s="51">
        <v>501000</v>
      </c>
      <c r="K1952" s="51"/>
      <c r="L1952" s="51">
        <f t="shared" ref="L1952" si="114">SUM(J1952:K1952)</f>
        <v>501000</v>
      </c>
    </row>
    <row r="1953" spans="1:16" x14ac:dyDescent="0.2">
      <c r="A1953" s="476"/>
      <c r="B1953" s="43"/>
      <c r="D1953" s="476"/>
      <c r="E1953" s="518"/>
      <c r="F1953" s="284"/>
      <c r="G1953" s="41"/>
      <c r="H1953" s="284"/>
      <c r="I1953" s="272" t="s">
        <v>619</v>
      </c>
      <c r="J1953" s="48">
        <f>SUM(J1951:J1952)</f>
        <v>2001000</v>
      </c>
      <c r="K1953" s="52"/>
      <c r="L1953" s="52">
        <f>SUM(J1953:K1953)</f>
        <v>2001000</v>
      </c>
    </row>
    <row r="1954" spans="1:16" x14ac:dyDescent="0.2">
      <c r="A1954" s="476"/>
      <c r="B1954" s="43"/>
      <c r="D1954" s="476"/>
      <c r="E1954" s="518"/>
      <c r="F1954" s="284"/>
      <c r="G1954" s="47" t="s">
        <v>37</v>
      </c>
      <c r="H1954" s="284"/>
      <c r="I1954" s="194" t="s">
        <v>38</v>
      </c>
      <c r="J1954" s="56">
        <f>SUM(J1953)</f>
        <v>2001000</v>
      </c>
      <c r="K1954" s="52"/>
      <c r="L1954" s="51">
        <f>SUM(J1954:K1954)</f>
        <v>2001000</v>
      </c>
    </row>
    <row r="1955" spans="1:16" ht="15" x14ac:dyDescent="0.25">
      <c r="A1955" s="476"/>
      <c r="B1955" s="43"/>
      <c r="D1955" s="476"/>
      <c r="E1955" s="518"/>
      <c r="F1955" s="284"/>
      <c r="G1955" s="41"/>
      <c r="H1955" s="288"/>
      <c r="I1955" s="24"/>
      <c r="J1955" s="27"/>
      <c r="K1955" s="27"/>
      <c r="L1955" s="53"/>
    </row>
    <row r="1956" spans="1:16" s="402" customFormat="1" ht="15" x14ac:dyDescent="0.25">
      <c r="A1956" s="476"/>
      <c r="B1956" s="43"/>
      <c r="C1956" s="43"/>
      <c r="D1956" s="476"/>
      <c r="E1956" s="520" t="s">
        <v>384</v>
      </c>
      <c r="F1956" s="358"/>
      <c r="G1956" s="307"/>
      <c r="H1956" s="360"/>
      <c r="I1956" s="312" t="s">
        <v>802</v>
      </c>
      <c r="J1956" s="71"/>
      <c r="K1956" s="71"/>
      <c r="L1956" s="233"/>
      <c r="M1956" s="992"/>
      <c r="N1956" s="828"/>
      <c r="O1956" s="177"/>
      <c r="P1956" s="829"/>
    </row>
    <row r="1957" spans="1:16" x14ac:dyDescent="0.2">
      <c r="A1957" s="476"/>
      <c r="B1957" s="43"/>
      <c r="D1957" s="476"/>
      <c r="E1957" s="518"/>
      <c r="F1957" s="284">
        <v>388</v>
      </c>
      <c r="G1957" s="41"/>
      <c r="H1957" s="285" t="s">
        <v>719</v>
      </c>
      <c r="I1957" s="243" t="s">
        <v>23</v>
      </c>
      <c r="J1957" s="963">
        <v>1</v>
      </c>
      <c r="K1957" s="963"/>
      <c r="L1957" s="963">
        <f t="shared" ref="L1957" si="115">SUM(J1957:K1957)</f>
        <v>1</v>
      </c>
    </row>
    <row r="1958" spans="1:16" x14ac:dyDescent="0.2">
      <c r="A1958" s="476"/>
      <c r="B1958" s="43"/>
      <c r="D1958" s="476"/>
      <c r="E1958" s="518"/>
      <c r="F1958" s="284"/>
      <c r="G1958" s="41"/>
      <c r="H1958" s="285"/>
      <c r="I1958" s="272" t="s">
        <v>710</v>
      </c>
      <c r="J1958" s="978">
        <f>SUM(J1957:J1957)</f>
        <v>1</v>
      </c>
      <c r="K1958" s="969"/>
      <c r="L1958" s="969">
        <f>SUM(J1958:K1958)</f>
        <v>1</v>
      </c>
    </row>
    <row r="1959" spans="1:16" x14ac:dyDescent="0.2">
      <c r="A1959" s="476"/>
      <c r="B1959" s="43"/>
      <c r="E1959" s="518"/>
      <c r="F1959" s="284"/>
      <c r="G1959" s="47" t="s">
        <v>37</v>
      </c>
      <c r="H1959" s="584"/>
      <c r="I1959" s="194" t="s">
        <v>38</v>
      </c>
      <c r="J1959" s="973">
        <f>SUM(J1958)</f>
        <v>1</v>
      </c>
      <c r="K1959" s="969"/>
      <c r="L1959" s="963">
        <f>SUM(J1959:K1959)</f>
        <v>1</v>
      </c>
    </row>
    <row r="1960" spans="1:16" x14ac:dyDescent="0.2">
      <c r="A1960" s="476"/>
      <c r="B1960" s="43"/>
      <c r="E1960" s="518"/>
      <c r="F1960" s="284"/>
      <c r="G1960" s="47"/>
      <c r="H1960" s="584"/>
      <c r="I1960" s="191"/>
      <c r="J1960" s="162"/>
      <c r="K1960" s="27"/>
      <c r="L1960" s="68"/>
    </row>
    <row r="1961" spans="1:16" x14ac:dyDescent="0.2">
      <c r="A1961" s="476"/>
      <c r="B1961" s="43"/>
      <c r="E1961" s="520" t="s">
        <v>384</v>
      </c>
      <c r="F1961" s="358"/>
      <c r="G1961" s="307"/>
      <c r="H1961" s="360"/>
      <c r="I1961" s="312" t="s">
        <v>1043</v>
      </c>
      <c r="J1961" s="71"/>
      <c r="K1961" s="71"/>
      <c r="L1961" s="233"/>
    </row>
    <row r="1962" spans="1:16" x14ac:dyDescent="0.2">
      <c r="A1962" s="476"/>
      <c r="B1962" s="43"/>
      <c r="E1962" s="518"/>
      <c r="F1962" s="284" t="s">
        <v>1044</v>
      </c>
      <c r="G1962" s="41"/>
      <c r="H1962" s="285" t="s">
        <v>719</v>
      </c>
      <c r="I1962" s="243" t="s">
        <v>23</v>
      </c>
      <c r="J1962" s="963">
        <v>3000000</v>
      </c>
      <c r="K1962" s="963"/>
      <c r="L1962" s="963">
        <f t="shared" ref="L1962" si="116">SUM(J1962:K1962)</f>
        <v>3000000</v>
      </c>
    </row>
    <row r="1963" spans="1:16" x14ac:dyDescent="0.2">
      <c r="A1963" s="476"/>
      <c r="B1963" s="43"/>
      <c r="E1963" s="518"/>
      <c r="F1963" s="284"/>
      <c r="G1963" s="41"/>
      <c r="H1963" s="285"/>
      <c r="I1963" s="272" t="s">
        <v>710</v>
      </c>
      <c r="J1963" s="978">
        <f>SUM(J1962:J1962)</f>
        <v>3000000</v>
      </c>
      <c r="K1963" s="969"/>
      <c r="L1963" s="969">
        <f>SUM(J1963:K1963)</f>
        <v>3000000</v>
      </c>
    </row>
    <row r="1964" spans="1:16" x14ac:dyDescent="0.2">
      <c r="A1964" s="476"/>
      <c r="B1964" s="43"/>
      <c r="E1964" s="518"/>
      <c r="F1964" s="284"/>
      <c r="G1964" s="47" t="s">
        <v>37</v>
      </c>
      <c r="H1964" s="584"/>
      <c r="I1964" s="194" t="s">
        <v>38</v>
      </c>
      <c r="J1964" s="973">
        <f>SUM(J1963)</f>
        <v>3000000</v>
      </c>
      <c r="K1964" s="969"/>
      <c r="L1964" s="963">
        <f>SUM(J1964:K1964)</f>
        <v>3000000</v>
      </c>
    </row>
    <row r="1965" spans="1:16" x14ac:dyDescent="0.2">
      <c r="A1965" s="476"/>
      <c r="B1965" s="43"/>
      <c r="E1965" s="518"/>
      <c r="F1965" s="284"/>
      <c r="G1965" s="47"/>
      <c r="H1965" s="584"/>
      <c r="I1965" s="191"/>
      <c r="J1965" s="162"/>
      <c r="K1965" s="27"/>
      <c r="L1965" s="68"/>
    </row>
    <row r="1966" spans="1:16" x14ac:dyDescent="0.2">
      <c r="A1966" s="476"/>
      <c r="B1966" s="43"/>
      <c r="C1966" s="463"/>
      <c r="D1966" s="463"/>
      <c r="E1966" s="523"/>
      <c r="F1966" s="284"/>
      <c r="G1966" s="41"/>
      <c r="H1966" s="284"/>
      <c r="I1966" s="222"/>
      <c r="J1966" s="27"/>
      <c r="K1966" s="27"/>
      <c r="L1966" s="53"/>
    </row>
    <row r="1967" spans="1:16" x14ac:dyDescent="0.2">
      <c r="A1967" s="582"/>
      <c r="B1967" s="583"/>
      <c r="C1967" s="463"/>
      <c r="D1967" s="463"/>
      <c r="E1967" s="522"/>
      <c r="F1967" s="404"/>
      <c r="G1967" s="302"/>
      <c r="H1967" s="404"/>
      <c r="I1967" s="363" t="s">
        <v>237</v>
      </c>
      <c r="J1967" s="609"/>
      <c r="K1967" s="609"/>
      <c r="L1967" s="610"/>
    </row>
    <row r="1968" spans="1:16" x14ac:dyDescent="0.2">
      <c r="A1968" s="476"/>
      <c r="B1968" s="43"/>
      <c r="E1968" s="519" t="s">
        <v>238</v>
      </c>
      <c r="F1968" s="404"/>
      <c r="G1968" s="302"/>
      <c r="H1968" s="454"/>
      <c r="I1968" s="612" t="s">
        <v>583</v>
      </c>
      <c r="J1968" s="613"/>
      <c r="K1968" s="613"/>
      <c r="L1968" s="380"/>
    </row>
    <row r="1969" spans="1:16" s="165" customFormat="1" x14ac:dyDescent="0.2">
      <c r="A1969" s="476"/>
      <c r="B1969" s="43"/>
      <c r="C1969" s="583"/>
      <c r="D1969" s="648"/>
      <c r="E1969" s="563"/>
      <c r="F1969" s="407"/>
      <c r="G1969" s="294"/>
      <c r="H1969" s="440"/>
      <c r="I1969" s="605"/>
      <c r="J1969" s="223"/>
      <c r="K1969" s="223"/>
      <c r="L1969" s="224"/>
      <c r="M1969" s="992"/>
      <c r="N1969" s="834"/>
      <c r="O1969" s="163"/>
      <c r="P1969" s="832"/>
    </row>
    <row r="1970" spans="1:16" s="165" customFormat="1" x14ac:dyDescent="0.2">
      <c r="A1970" s="476"/>
      <c r="B1970" s="43"/>
      <c r="C1970" s="43">
        <v>860</v>
      </c>
      <c r="D1970" s="43"/>
      <c r="E1970" s="518"/>
      <c r="F1970" s="284"/>
      <c r="G1970" s="41"/>
      <c r="H1970" s="286"/>
      <c r="I1970" s="249" t="s">
        <v>730</v>
      </c>
      <c r="J1970" s="350"/>
      <c r="K1970" s="350"/>
      <c r="L1970" s="343"/>
      <c r="M1970" s="992"/>
      <c r="N1970" s="834"/>
      <c r="O1970" s="163"/>
      <c r="P1970" s="832"/>
    </row>
    <row r="1971" spans="1:16" ht="22.5" x14ac:dyDescent="0.2">
      <c r="A1971" s="476"/>
      <c r="B1971" s="43"/>
      <c r="E1971" s="518"/>
      <c r="F1971" s="284">
        <v>389</v>
      </c>
      <c r="G1971" s="41"/>
      <c r="H1971" s="285" t="s">
        <v>220</v>
      </c>
      <c r="I1971" s="246" t="s">
        <v>307</v>
      </c>
      <c r="J1971" s="204">
        <v>15000000</v>
      </c>
      <c r="K1971" s="46"/>
      <c r="L1971" s="46">
        <f>SUM(J1971+K1971)</f>
        <v>15000000</v>
      </c>
    </row>
    <row r="1972" spans="1:16" x14ac:dyDescent="0.2">
      <c r="A1972" s="476"/>
      <c r="B1972" s="43"/>
      <c r="D1972" s="476"/>
      <c r="E1972" s="518"/>
      <c r="F1972" s="284"/>
      <c r="G1972" s="41"/>
      <c r="H1972" s="285"/>
      <c r="I1972" s="102" t="s">
        <v>294</v>
      </c>
      <c r="J1972" s="331">
        <f>SUM(J1971)</f>
        <v>15000000</v>
      </c>
      <c r="K1972" s="331"/>
      <c r="L1972" s="332">
        <f>SUM(J1972:K1972)</f>
        <v>15000000</v>
      </c>
    </row>
    <row r="1973" spans="1:16" x14ac:dyDescent="0.2">
      <c r="A1973" s="476"/>
      <c r="B1973" s="43"/>
      <c r="D1973" s="476"/>
      <c r="E1973" s="518"/>
      <c r="F1973" s="284"/>
      <c r="G1973" s="47" t="s">
        <v>37</v>
      </c>
      <c r="H1973" s="285"/>
      <c r="I1973" s="57" t="s">
        <v>38</v>
      </c>
      <c r="J1973" s="52">
        <f>SUM(J1972)</f>
        <v>15000000</v>
      </c>
      <c r="K1973" s="52"/>
      <c r="L1973" s="52">
        <f>SUM(J1973+K1973)</f>
        <v>15000000</v>
      </c>
    </row>
    <row r="1974" spans="1:16" x14ac:dyDescent="0.2">
      <c r="A1974" s="476"/>
      <c r="B1974" s="43"/>
      <c r="C1974" s="463"/>
      <c r="D1974" s="463"/>
      <c r="E1974" s="523"/>
      <c r="F1974" s="284"/>
      <c r="G1974" s="41"/>
      <c r="H1974" s="284"/>
      <c r="I1974" s="222"/>
      <c r="J1974" s="27"/>
      <c r="K1974" s="27"/>
      <c r="L1974" s="53"/>
    </row>
    <row r="1975" spans="1:16" x14ac:dyDescent="0.2">
      <c r="A1975" s="476"/>
      <c r="B1975" s="43"/>
      <c r="C1975" s="463"/>
      <c r="D1975" s="463"/>
      <c r="E1975" s="522"/>
      <c r="F1975" s="404"/>
      <c r="G1975" s="302"/>
      <c r="H1975" s="404"/>
      <c r="I1975" s="363" t="s">
        <v>274</v>
      </c>
      <c r="J1975" s="455"/>
      <c r="K1975" s="455"/>
      <c r="L1975" s="304"/>
    </row>
    <row r="1976" spans="1:16" ht="22.5" x14ac:dyDescent="0.2">
      <c r="A1976" s="476"/>
      <c r="B1976" s="43"/>
      <c r="D1976" s="476"/>
      <c r="E1976" s="519" t="s">
        <v>439</v>
      </c>
      <c r="F1976" s="404"/>
      <c r="G1976" s="302"/>
      <c r="H1976" s="404"/>
      <c r="I1976" s="660" t="s">
        <v>440</v>
      </c>
      <c r="J1976" s="447"/>
      <c r="K1976" s="447"/>
      <c r="L1976" s="367"/>
    </row>
    <row r="1977" spans="1:16" ht="15" x14ac:dyDescent="0.25">
      <c r="A1977" s="476"/>
      <c r="B1977" s="43"/>
      <c r="D1977" s="476"/>
      <c r="E1977" s="518"/>
      <c r="F1977" s="284"/>
      <c r="G1977" s="41"/>
      <c r="H1977" s="288"/>
      <c r="I1977" s="665"/>
      <c r="J1977" s="27"/>
      <c r="K1977" s="27"/>
      <c r="L1977" s="53"/>
    </row>
    <row r="1978" spans="1:16" x14ac:dyDescent="0.2">
      <c r="A1978" s="476"/>
      <c r="B1978" s="43"/>
      <c r="C1978" s="43">
        <v>840</v>
      </c>
      <c r="D1978" s="43"/>
      <c r="E1978" s="518"/>
      <c r="F1978" s="284"/>
      <c r="G1978" s="41"/>
      <c r="H1978" s="285"/>
      <c r="I1978" s="249" t="s">
        <v>44</v>
      </c>
      <c r="J1978" s="109"/>
      <c r="K1978" s="109"/>
      <c r="L1978" s="205"/>
    </row>
    <row r="1979" spans="1:16" x14ac:dyDescent="0.2">
      <c r="A1979" s="476"/>
      <c r="B1979" s="43"/>
      <c r="E1979" s="518"/>
      <c r="F1979" s="284">
        <v>390</v>
      </c>
      <c r="G1979" s="41"/>
      <c r="H1979" s="285" t="s">
        <v>220</v>
      </c>
      <c r="I1979" s="243" t="s">
        <v>594</v>
      </c>
      <c r="J1979" s="51">
        <v>16000000</v>
      </c>
      <c r="K1979" s="51"/>
      <c r="L1979" s="51">
        <f>SUM(J1979+K1979)</f>
        <v>16000000</v>
      </c>
    </row>
    <row r="1980" spans="1:16" x14ac:dyDescent="0.2">
      <c r="A1980" s="476"/>
      <c r="B1980" s="43"/>
      <c r="E1980" s="518"/>
      <c r="F1980" s="284"/>
      <c r="G1980" s="41"/>
      <c r="H1980" s="285"/>
      <c r="I1980" s="202" t="s">
        <v>597</v>
      </c>
      <c r="J1980" s="52">
        <f>SUM(J1979)</f>
        <v>16000000</v>
      </c>
      <c r="K1980" s="52"/>
      <c r="L1980" s="52">
        <f>SUM(L1979)</f>
        <v>16000000</v>
      </c>
    </row>
    <row r="1981" spans="1:16" x14ac:dyDescent="0.2">
      <c r="A1981" s="476"/>
      <c r="B1981" s="43"/>
      <c r="E1981" s="518"/>
      <c r="F1981" s="284"/>
      <c r="G1981" s="47" t="s">
        <v>37</v>
      </c>
      <c r="H1981" s="584"/>
      <c r="I1981" s="57" t="s">
        <v>38</v>
      </c>
      <c r="J1981" s="52">
        <f>SUM(J1980)</f>
        <v>16000000</v>
      </c>
      <c r="K1981" s="52"/>
      <c r="L1981" s="52">
        <f>SUM(J1981+K1981)</f>
        <v>16000000</v>
      </c>
    </row>
    <row r="1982" spans="1:16" x14ac:dyDescent="0.2">
      <c r="A1982" s="476"/>
      <c r="B1982" s="43"/>
      <c r="C1982" s="463"/>
      <c r="D1982" s="463"/>
      <c r="E1982" s="523"/>
      <c r="F1982" s="284"/>
      <c r="G1982" s="41"/>
      <c r="H1982" s="284"/>
      <c r="I1982" s="24"/>
      <c r="J1982" s="27"/>
      <c r="K1982" s="27"/>
      <c r="L1982" s="53"/>
    </row>
    <row r="1983" spans="1:16" x14ac:dyDescent="0.2">
      <c r="A1983" s="582"/>
      <c r="B1983" s="583"/>
      <c r="C1983" s="463"/>
      <c r="D1983" s="463"/>
      <c r="E1983" s="522"/>
      <c r="F1983" s="404"/>
      <c r="G1983" s="302"/>
      <c r="H1983" s="404"/>
      <c r="I1983" s="363" t="s">
        <v>412</v>
      </c>
      <c r="J1983" s="455"/>
      <c r="K1983" s="455"/>
      <c r="L1983" s="304"/>
    </row>
    <row r="1984" spans="1:16" ht="22.5" x14ac:dyDescent="0.2">
      <c r="A1984" s="476"/>
      <c r="B1984" s="43"/>
      <c r="E1984" s="519" t="s">
        <v>441</v>
      </c>
      <c r="F1984" s="404"/>
      <c r="G1984" s="302"/>
      <c r="H1984" s="404"/>
      <c r="I1984" s="660" t="s">
        <v>442</v>
      </c>
      <c r="J1984" s="366"/>
      <c r="K1984" s="366"/>
      <c r="L1984" s="369"/>
    </row>
    <row r="1985" spans="1:16" x14ac:dyDescent="0.2">
      <c r="A1985" s="476"/>
      <c r="B1985" s="43"/>
      <c r="C1985" s="583"/>
      <c r="D1985" s="648"/>
      <c r="E1985" s="563"/>
      <c r="F1985" s="407"/>
      <c r="G1985" s="294"/>
      <c r="H1985" s="284"/>
      <c r="I1985" s="665"/>
      <c r="J1985" s="28"/>
      <c r="K1985" s="28"/>
      <c r="L1985" s="68"/>
    </row>
    <row r="1986" spans="1:16" x14ac:dyDescent="0.2">
      <c r="A1986" s="476"/>
      <c r="B1986" s="43"/>
      <c r="C1986" s="43">
        <v>860</v>
      </c>
      <c r="D1986" s="43"/>
      <c r="E1986" s="518"/>
      <c r="F1986" s="284"/>
      <c r="G1986" s="41"/>
      <c r="H1986" s="285"/>
      <c r="I1986" s="249" t="s">
        <v>45</v>
      </c>
      <c r="J1986" s="109"/>
      <c r="K1986" s="109"/>
      <c r="L1986" s="205"/>
    </row>
    <row r="1987" spans="1:16" x14ac:dyDescent="0.2">
      <c r="A1987" s="476"/>
      <c r="B1987" s="43"/>
      <c r="D1987" s="43"/>
      <c r="E1987" s="518"/>
      <c r="F1987" s="284"/>
      <c r="G1987" s="41"/>
      <c r="H1987" s="285"/>
      <c r="I1987" s="24" t="s">
        <v>40</v>
      </c>
      <c r="J1987" s="28"/>
      <c r="K1987" s="28"/>
      <c r="L1987" s="68"/>
    </row>
    <row r="1988" spans="1:16" x14ac:dyDescent="0.2">
      <c r="A1988" s="476"/>
      <c r="B1988" s="43"/>
      <c r="E1988" s="518"/>
      <c r="F1988" s="284">
        <v>391</v>
      </c>
      <c r="G1988" s="41"/>
      <c r="H1988" s="284">
        <v>423</v>
      </c>
      <c r="I1988" s="194" t="s">
        <v>598</v>
      </c>
      <c r="J1988" s="51">
        <v>28000000</v>
      </c>
      <c r="K1988" s="51"/>
      <c r="L1988" s="51">
        <f>SUM(J1988+K1988)</f>
        <v>28000000</v>
      </c>
    </row>
    <row r="1989" spans="1:16" ht="15" x14ac:dyDescent="0.25">
      <c r="A1989" s="476"/>
      <c r="B1989" s="43"/>
      <c r="D1989" s="476"/>
      <c r="E1989" s="518"/>
      <c r="F1989" s="284"/>
      <c r="G1989" s="41"/>
      <c r="H1989" s="288"/>
      <c r="I1989" s="202" t="s">
        <v>596</v>
      </c>
      <c r="J1989" s="52">
        <f>SUM(J1988)</f>
        <v>28000000</v>
      </c>
      <c r="K1989" s="52"/>
      <c r="L1989" s="52">
        <f>SUM(J1989:K1989)</f>
        <v>28000000</v>
      </c>
    </row>
    <row r="1990" spans="1:16" ht="15" x14ac:dyDescent="0.25">
      <c r="C1990" s="463"/>
      <c r="D1990" s="463"/>
      <c r="E1990" s="523"/>
      <c r="F1990" s="284"/>
      <c r="G1990" s="47" t="s">
        <v>37</v>
      </c>
      <c r="H1990" s="288"/>
      <c r="I1990" s="57" t="s">
        <v>38</v>
      </c>
      <c r="J1990" s="52">
        <f>SUM(J1989)</f>
        <v>28000000</v>
      </c>
      <c r="K1990" s="52"/>
      <c r="L1990" s="52">
        <f>SUM(J1990+K1990)</f>
        <v>28000000</v>
      </c>
    </row>
    <row r="1991" spans="1:16" ht="15" x14ac:dyDescent="0.25">
      <c r="D1991" s="43"/>
      <c r="E1991" s="518"/>
      <c r="F1991" s="284"/>
      <c r="G1991" s="41"/>
      <c r="H1991" s="288"/>
      <c r="I1991" s="24"/>
      <c r="J1991" s="167"/>
      <c r="K1991" s="167"/>
      <c r="L1991" s="300"/>
      <c r="M1991" s="1014"/>
    </row>
    <row r="1992" spans="1:16" ht="15" x14ac:dyDescent="0.25">
      <c r="C1992" s="43">
        <v>860</v>
      </c>
      <c r="D1992" s="43"/>
      <c r="E1992" s="520">
        <v>1201</v>
      </c>
      <c r="F1992" s="358"/>
      <c r="G1992" s="307"/>
      <c r="H1992" s="431"/>
      <c r="I1992" s="312" t="s">
        <v>801</v>
      </c>
      <c r="J1992" s="71"/>
      <c r="K1992" s="71"/>
      <c r="L1992" s="233"/>
    </row>
    <row r="1993" spans="1:16" x14ac:dyDescent="0.2">
      <c r="D1993" s="43"/>
      <c r="E1993" s="518"/>
      <c r="F1993" s="410">
        <v>392</v>
      </c>
      <c r="G1993" s="207"/>
      <c r="H1993" s="410">
        <v>424</v>
      </c>
      <c r="I1993" s="250" t="s">
        <v>644</v>
      </c>
      <c r="J1993" s="56">
        <v>1000000</v>
      </c>
      <c r="K1993" s="52"/>
      <c r="L1993" s="205">
        <f t="shared" ref="L1993:L2000" si="117">SUM(J1993:K1993)</f>
        <v>1000000</v>
      </c>
    </row>
    <row r="1994" spans="1:16" x14ac:dyDescent="0.2">
      <c r="D1994" s="43"/>
      <c r="E1994" s="518"/>
      <c r="F1994" s="284">
        <v>393</v>
      </c>
      <c r="G1994" s="41"/>
      <c r="H1994" s="284">
        <v>424</v>
      </c>
      <c r="I1994" s="250" t="s">
        <v>645</v>
      </c>
      <c r="J1994" s="51">
        <v>1000000</v>
      </c>
      <c r="K1994" s="52"/>
      <c r="L1994" s="205">
        <f t="shared" si="117"/>
        <v>1000000</v>
      </c>
    </row>
    <row r="1995" spans="1:16" s="165" customFormat="1" ht="15" customHeight="1" x14ac:dyDescent="0.2">
      <c r="A1995" s="44"/>
      <c r="B1995" s="44"/>
      <c r="C1995" s="43"/>
      <c r="D1995" s="43"/>
      <c r="E1995" s="518"/>
      <c r="F1995" s="410">
        <v>394</v>
      </c>
      <c r="G1995" s="41"/>
      <c r="H1995" s="284">
        <v>424</v>
      </c>
      <c r="I1995" s="250" t="s">
        <v>652</v>
      </c>
      <c r="J1995" s="51">
        <v>1164000</v>
      </c>
      <c r="K1995" s="52"/>
      <c r="L1995" s="205">
        <f t="shared" si="117"/>
        <v>1164000</v>
      </c>
      <c r="M1995" s="992"/>
      <c r="N1995" s="834"/>
      <c r="O1995" s="163"/>
      <c r="P1995" s="832"/>
    </row>
    <row r="1996" spans="1:16" x14ac:dyDescent="0.2">
      <c r="D1996" s="43"/>
      <c r="E1996" s="518"/>
      <c r="F1996" s="284">
        <v>395</v>
      </c>
      <c r="G1996" s="41"/>
      <c r="H1996" s="284">
        <v>424</v>
      </c>
      <c r="I1996" s="251" t="s">
        <v>679</v>
      </c>
      <c r="J1996" s="51">
        <v>1350000</v>
      </c>
      <c r="K1996" s="52"/>
      <c r="L1996" s="205">
        <f t="shared" si="117"/>
        <v>1350000</v>
      </c>
    </row>
    <row r="1997" spans="1:16" x14ac:dyDescent="0.2">
      <c r="D1997" s="43"/>
      <c r="E1997" s="518"/>
      <c r="F1997" s="410">
        <v>396</v>
      </c>
      <c r="G1997" s="41"/>
      <c r="H1997" s="284">
        <v>424</v>
      </c>
      <c r="I1997" s="251" t="s">
        <v>706</v>
      </c>
      <c r="J1997" s="963">
        <v>1</v>
      </c>
      <c r="K1997" s="969"/>
      <c r="L1997" s="983">
        <f t="shared" si="117"/>
        <v>1</v>
      </c>
    </row>
    <row r="1998" spans="1:16" x14ac:dyDescent="0.2">
      <c r="D1998" s="43"/>
      <c r="E1998" s="518"/>
      <c r="F1998" s="284" t="s">
        <v>1036</v>
      </c>
      <c r="G1998" s="41"/>
      <c r="H1998" s="284">
        <v>424</v>
      </c>
      <c r="I1998" s="251" t="s">
        <v>1037</v>
      </c>
      <c r="J1998" s="51">
        <v>5760000</v>
      </c>
      <c r="K1998" s="52"/>
      <c r="L1998" s="205">
        <f t="shared" si="117"/>
        <v>5760000</v>
      </c>
    </row>
    <row r="1999" spans="1:16" ht="22.5" x14ac:dyDescent="0.2">
      <c r="D1999" s="43"/>
      <c r="E1999" s="518"/>
      <c r="F1999" s="284">
        <v>397</v>
      </c>
      <c r="G1999" s="41"/>
      <c r="H1999" s="284">
        <v>424</v>
      </c>
      <c r="I1999" s="251" t="s">
        <v>646</v>
      </c>
      <c r="J1999" s="51">
        <v>4000000</v>
      </c>
      <c r="K1999" s="52"/>
      <c r="L1999" s="205">
        <f t="shared" ref="L1999" si="118">SUM(J1999:K1999)</f>
        <v>4000000</v>
      </c>
    </row>
    <row r="2000" spans="1:16" x14ac:dyDescent="0.2">
      <c r="A2000" s="476"/>
      <c r="B2000" s="43"/>
      <c r="D2000" s="476"/>
      <c r="E2000" s="518"/>
      <c r="F2000" s="284"/>
      <c r="G2000" s="41"/>
      <c r="H2000" s="584"/>
      <c r="I2000" s="208" t="s">
        <v>800</v>
      </c>
      <c r="J2000" s="52">
        <f>SUM(J1993:J1999)</f>
        <v>14274001</v>
      </c>
      <c r="K2000" s="52"/>
      <c r="L2000" s="52">
        <f t="shared" si="117"/>
        <v>14274001</v>
      </c>
    </row>
    <row r="2001" spans="1:12" ht="15" x14ac:dyDescent="0.25">
      <c r="A2001" s="463"/>
      <c r="B2001" s="463"/>
      <c r="C2001" s="469"/>
      <c r="D2001" s="463"/>
      <c r="E2001" s="523"/>
      <c r="F2001" s="284"/>
      <c r="G2001" s="47" t="s">
        <v>37</v>
      </c>
      <c r="H2001" s="285"/>
      <c r="I2001" s="57" t="s">
        <v>38</v>
      </c>
      <c r="J2001" s="52">
        <f>SUM(J2000)</f>
        <v>14274001</v>
      </c>
      <c r="K2001" s="52"/>
      <c r="L2001" s="52">
        <f>SUM(J2001+K2001)</f>
        <v>14274001</v>
      </c>
    </row>
    <row r="2002" spans="1:12" x14ac:dyDescent="0.2">
      <c r="A2002" s="582"/>
      <c r="B2002" s="583"/>
      <c r="C2002" s="583"/>
      <c r="D2002" s="602"/>
      <c r="E2002" s="563"/>
      <c r="F2002" s="284"/>
      <c r="G2002" s="41"/>
      <c r="H2002" s="286"/>
      <c r="I2002" s="24"/>
      <c r="J2002" s="27"/>
      <c r="K2002" s="27"/>
      <c r="L2002" s="53"/>
    </row>
    <row r="2003" spans="1:12" x14ac:dyDescent="0.2">
      <c r="A2003" s="626"/>
      <c r="B2003" s="627"/>
      <c r="C2003" s="627"/>
      <c r="D2003" s="595" t="s">
        <v>240</v>
      </c>
      <c r="E2003" s="554"/>
      <c r="F2003" s="638"/>
      <c r="G2003" s="628"/>
      <c r="H2003" s="696"/>
      <c r="I2003" s="630" t="s">
        <v>241</v>
      </c>
      <c r="J2003" s="599">
        <f>SUM(J2012+J2021+J2041+J2056+J2064+J2069+J2077+J2082+J2087+J2092+J2097+J2103+J2110+J2117+J2124+J2131+J2144+J2032+J2151+J2046+J2137)</f>
        <v>575323311.59000003</v>
      </c>
      <c r="K2003" s="599"/>
      <c r="L2003" s="599">
        <f>SUM(J2003:K2003)</f>
        <v>575323311.59000003</v>
      </c>
    </row>
    <row r="2004" spans="1:12" x14ac:dyDescent="0.2">
      <c r="A2004" s="476"/>
      <c r="B2004" s="43"/>
      <c r="C2004" s="463"/>
      <c r="D2004" s="463"/>
      <c r="E2004" s="523"/>
      <c r="F2004" s="407"/>
      <c r="G2004" s="294"/>
      <c r="H2004" s="284"/>
      <c r="I2004" s="239"/>
      <c r="J2004" s="345"/>
      <c r="K2004" s="345"/>
      <c r="L2004" s="617"/>
    </row>
    <row r="2005" spans="1:12" ht="15" x14ac:dyDescent="0.25">
      <c r="A2005" s="550"/>
      <c r="B2005" s="401"/>
      <c r="C2005" s="463"/>
      <c r="D2005" s="463"/>
      <c r="E2005" s="522"/>
      <c r="F2005" s="404"/>
      <c r="G2005" s="302"/>
      <c r="H2005" s="434"/>
      <c r="I2005" s="363" t="s">
        <v>272</v>
      </c>
      <c r="J2005" s="609"/>
      <c r="K2005" s="609"/>
      <c r="L2005" s="610"/>
    </row>
    <row r="2006" spans="1:12" ht="22.5" x14ac:dyDescent="0.25">
      <c r="A2006" s="476"/>
      <c r="B2006" s="43"/>
      <c r="D2006" s="43"/>
      <c r="E2006" s="519" t="s">
        <v>266</v>
      </c>
      <c r="F2006" s="404"/>
      <c r="G2006" s="302"/>
      <c r="H2006" s="434"/>
      <c r="I2006" s="660" t="s">
        <v>267</v>
      </c>
      <c r="J2006" s="613"/>
      <c r="K2006" s="613"/>
      <c r="L2006" s="380"/>
    </row>
    <row r="2007" spans="1:12" x14ac:dyDescent="0.2">
      <c r="A2007" s="476"/>
      <c r="B2007" s="43"/>
      <c r="C2007" s="401"/>
      <c r="D2007" s="401"/>
      <c r="E2007" s="521"/>
      <c r="F2007" s="406"/>
      <c r="G2007" s="203"/>
      <c r="H2007" s="420"/>
      <c r="I2007" s="222"/>
      <c r="J2007" s="223"/>
      <c r="K2007" s="223"/>
      <c r="L2007" s="224"/>
    </row>
    <row r="2008" spans="1:12" x14ac:dyDescent="0.2">
      <c r="A2008" s="476"/>
      <c r="B2008" s="43"/>
      <c r="C2008" s="43">
        <v>810</v>
      </c>
      <c r="D2008" s="43"/>
      <c r="E2008" s="518"/>
      <c r="F2008" s="284"/>
      <c r="G2008" s="41"/>
      <c r="H2008" s="285"/>
      <c r="I2008" s="252" t="s">
        <v>47</v>
      </c>
      <c r="J2008" s="350"/>
      <c r="K2008" s="350"/>
      <c r="L2008" s="343"/>
    </row>
    <row r="2009" spans="1:12" ht="22.5" x14ac:dyDescent="0.2">
      <c r="A2009" s="476"/>
      <c r="B2009" s="43"/>
      <c r="D2009" s="476"/>
      <c r="E2009" s="518"/>
      <c r="F2009" s="284">
        <v>398</v>
      </c>
      <c r="G2009" s="41"/>
      <c r="H2009" s="284">
        <v>481</v>
      </c>
      <c r="I2009" s="245" t="s">
        <v>308</v>
      </c>
      <c r="J2009" s="46">
        <v>90000000</v>
      </c>
      <c r="K2009" s="46"/>
      <c r="L2009" s="46">
        <f>SUM(J2009+K2009)</f>
        <v>90000000</v>
      </c>
    </row>
    <row r="2010" spans="1:12" x14ac:dyDescent="0.2">
      <c r="A2010" s="476"/>
      <c r="B2010" s="43"/>
      <c r="D2010" s="476"/>
      <c r="E2010" s="518"/>
      <c r="F2010" s="284">
        <v>399</v>
      </c>
      <c r="G2010" s="41"/>
      <c r="H2010" s="284">
        <v>481</v>
      </c>
      <c r="I2010" s="245" t="s">
        <v>721</v>
      </c>
      <c r="J2010" s="46">
        <v>30000000</v>
      </c>
      <c r="K2010" s="46"/>
      <c r="L2010" s="46">
        <f>SUM(J2010+K2010)</f>
        <v>30000000</v>
      </c>
    </row>
    <row r="2011" spans="1:12" x14ac:dyDescent="0.2">
      <c r="A2011" s="476"/>
      <c r="B2011" s="43"/>
      <c r="D2011" s="476"/>
      <c r="E2011" s="518"/>
      <c r="F2011" s="284">
        <v>400</v>
      </c>
      <c r="G2011" s="41"/>
      <c r="H2011" s="292">
        <v>481</v>
      </c>
      <c r="I2011" s="245" t="s">
        <v>571</v>
      </c>
      <c r="J2011" s="46">
        <v>5000000</v>
      </c>
      <c r="K2011" s="46"/>
      <c r="L2011" s="46">
        <f>SUM(J2011+K2011)</f>
        <v>5000000</v>
      </c>
    </row>
    <row r="2012" spans="1:12" x14ac:dyDescent="0.2">
      <c r="A2012" s="476"/>
      <c r="B2012" s="43"/>
      <c r="D2012" s="562"/>
      <c r="E2012" s="518"/>
      <c r="F2012" s="284"/>
      <c r="G2012" s="41"/>
      <c r="H2012" s="286"/>
      <c r="I2012" s="202" t="s">
        <v>599</v>
      </c>
      <c r="J2012" s="174">
        <f>SUM(J2009:J2011)</f>
        <v>125000000</v>
      </c>
      <c r="K2012" s="174"/>
      <c r="L2012" s="174">
        <f>SUM(L2009:L2011)</f>
        <v>125000000</v>
      </c>
    </row>
    <row r="2013" spans="1:12" x14ac:dyDescent="0.2">
      <c r="A2013" s="476"/>
      <c r="B2013" s="43"/>
      <c r="C2013" s="463"/>
      <c r="D2013" s="463"/>
      <c r="E2013" s="523"/>
      <c r="F2013" s="284"/>
      <c r="G2013" s="47" t="s">
        <v>37</v>
      </c>
      <c r="H2013" s="433"/>
      <c r="I2013" s="57" t="s">
        <v>38</v>
      </c>
      <c r="J2013" s="52">
        <f>SUM(J2012)</f>
        <v>125000000</v>
      </c>
      <c r="K2013" s="52"/>
      <c r="L2013" s="52">
        <f>SUM(J2013+K2013)</f>
        <v>125000000</v>
      </c>
    </row>
    <row r="2014" spans="1:12" x14ac:dyDescent="0.2">
      <c r="A2014" s="582"/>
      <c r="B2014" s="583"/>
      <c r="C2014" s="463"/>
      <c r="D2014" s="463"/>
      <c r="E2014" s="523"/>
      <c r="F2014" s="284"/>
      <c r="G2014" s="203"/>
      <c r="H2014" s="284"/>
      <c r="I2014" s="17"/>
      <c r="J2014" s="28"/>
      <c r="K2014" s="28"/>
      <c r="L2014" s="53"/>
    </row>
    <row r="2015" spans="1:12" x14ac:dyDescent="0.2">
      <c r="A2015" s="476"/>
      <c r="B2015" s="43"/>
      <c r="C2015" s="463"/>
      <c r="D2015" s="463"/>
      <c r="E2015" s="522"/>
      <c r="F2015" s="404"/>
      <c r="G2015" s="302"/>
      <c r="H2015" s="404"/>
      <c r="I2015" s="363" t="s">
        <v>412</v>
      </c>
      <c r="J2015" s="364"/>
      <c r="K2015" s="364"/>
      <c r="L2015" s="304"/>
    </row>
    <row r="2016" spans="1:12" x14ac:dyDescent="0.2">
      <c r="A2016" s="476"/>
      <c r="B2016" s="43"/>
      <c r="D2016" s="43"/>
      <c r="E2016" s="519" t="s">
        <v>465</v>
      </c>
      <c r="F2016" s="404"/>
      <c r="G2016" s="302"/>
      <c r="H2016" s="404"/>
      <c r="I2016" s="365" t="s">
        <v>466</v>
      </c>
      <c r="J2016" s="366"/>
      <c r="K2016" s="366"/>
      <c r="L2016" s="367"/>
    </row>
    <row r="2017" spans="1:12" x14ac:dyDescent="0.2">
      <c r="A2017" s="476"/>
      <c r="B2017" s="43"/>
      <c r="C2017" s="583"/>
      <c r="D2017" s="583"/>
      <c r="E2017" s="563"/>
      <c r="F2017" s="284"/>
      <c r="G2017" s="294"/>
      <c r="H2017" s="286"/>
      <c r="I2017" s="239"/>
      <c r="J2017" s="28"/>
      <c r="K2017" s="28"/>
      <c r="L2017" s="53"/>
    </row>
    <row r="2018" spans="1:12" x14ac:dyDescent="0.2">
      <c r="A2018" s="476"/>
      <c r="B2018" s="43"/>
      <c r="C2018" s="43">
        <v>810</v>
      </c>
      <c r="D2018" s="43"/>
      <c r="E2018" s="518"/>
      <c r="F2018" s="284"/>
      <c r="G2018" s="41"/>
      <c r="H2018" s="286"/>
      <c r="I2018" s="260" t="s">
        <v>47</v>
      </c>
      <c r="J2018" s="67"/>
      <c r="K2018" s="67"/>
      <c r="L2018" s="192"/>
    </row>
    <row r="2019" spans="1:12" x14ac:dyDescent="0.2">
      <c r="A2019" s="476"/>
      <c r="B2019" s="43"/>
      <c r="D2019" s="476"/>
      <c r="E2019" s="518"/>
      <c r="F2019" s="284"/>
      <c r="G2019" s="41"/>
      <c r="H2019" s="285"/>
      <c r="I2019" s="206"/>
      <c r="J2019" s="28"/>
      <c r="K2019" s="28"/>
      <c r="L2019" s="68"/>
    </row>
    <row r="2020" spans="1:12" ht="22.5" x14ac:dyDescent="0.2">
      <c r="A2020" s="476"/>
      <c r="B2020" s="43"/>
      <c r="D2020" s="476"/>
      <c r="E2020" s="518"/>
      <c r="F2020" s="284">
        <v>401</v>
      </c>
      <c r="G2020" s="41"/>
      <c r="H2020" s="285" t="s">
        <v>82</v>
      </c>
      <c r="I2020" s="245" t="s">
        <v>295</v>
      </c>
      <c r="J2020" s="56">
        <v>13000000</v>
      </c>
      <c r="K2020" s="51"/>
      <c r="L2020" s="51">
        <f>SUM(J2020+K2020)</f>
        <v>13000000</v>
      </c>
    </row>
    <row r="2021" spans="1:12" x14ac:dyDescent="0.2">
      <c r="A2021" s="476"/>
      <c r="B2021" s="43"/>
      <c r="D2021" s="476"/>
      <c r="E2021" s="518"/>
      <c r="F2021" s="284"/>
      <c r="G2021" s="293"/>
      <c r="H2021" s="284"/>
      <c r="I2021" s="202" t="s">
        <v>620</v>
      </c>
      <c r="J2021" s="48">
        <f>SUM(J2020)</f>
        <v>13000000</v>
      </c>
      <c r="K2021" s="52"/>
      <c r="L2021" s="52">
        <f>SUM(J2020:J2020)</f>
        <v>13000000</v>
      </c>
    </row>
    <row r="2022" spans="1:12" ht="15" x14ac:dyDescent="0.2">
      <c r="A2022" s="476"/>
      <c r="B2022" s="43"/>
      <c r="C2022" s="646"/>
      <c r="E2022" s="518"/>
      <c r="F2022" s="284"/>
      <c r="G2022" s="47" t="s">
        <v>37</v>
      </c>
      <c r="H2022" s="284"/>
      <c r="I2022" s="194" t="s">
        <v>38</v>
      </c>
      <c r="J2022" s="51">
        <f>SUM(J2021)</f>
        <v>13000000</v>
      </c>
      <c r="K2022" s="51"/>
      <c r="L2022" s="51">
        <f>SUM(J2022+K2022)</f>
        <v>13000000</v>
      </c>
    </row>
    <row r="2023" spans="1:12" ht="15" x14ac:dyDescent="0.2">
      <c r="A2023" s="476"/>
      <c r="B2023" s="43"/>
      <c r="C2023" s="646"/>
      <c r="E2023" s="518"/>
      <c r="F2023" s="284"/>
      <c r="G2023" s="47"/>
      <c r="H2023" s="284"/>
      <c r="I2023" s="191"/>
      <c r="J2023" s="28"/>
      <c r="K2023" s="28"/>
      <c r="L2023" s="68"/>
    </row>
    <row r="2024" spans="1:12" x14ac:dyDescent="0.2">
      <c r="A2024" s="476"/>
      <c r="B2024" s="43"/>
      <c r="C2024" s="463"/>
      <c r="D2024" s="463"/>
      <c r="E2024" s="522"/>
      <c r="F2024" s="404"/>
      <c r="G2024" s="302"/>
      <c r="H2024" s="404"/>
      <c r="I2024" s="363" t="s">
        <v>275</v>
      </c>
      <c r="J2024" s="364"/>
      <c r="K2024" s="364"/>
      <c r="L2024" s="304"/>
    </row>
    <row r="2025" spans="1:12" x14ac:dyDescent="0.2">
      <c r="A2025" s="476"/>
      <c r="B2025" s="43"/>
      <c r="D2025" s="43"/>
      <c r="E2025" s="519" t="s">
        <v>733</v>
      </c>
      <c r="F2025" s="404"/>
      <c r="G2025" s="302"/>
      <c r="H2025" s="404"/>
      <c r="I2025" s="365" t="s">
        <v>734</v>
      </c>
      <c r="J2025" s="366"/>
      <c r="K2025" s="366"/>
      <c r="L2025" s="367"/>
    </row>
    <row r="2026" spans="1:12" x14ac:dyDescent="0.2">
      <c r="A2026" s="476"/>
      <c r="B2026" s="43"/>
      <c r="C2026" s="583"/>
      <c r="D2026" s="583"/>
      <c r="E2026" s="563"/>
      <c r="F2026" s="284"/>
      <c r="G2026" s="294"/>
      <c r="H2026" s="286"/>
      <c r="I2026" s="239"/>
      <c r="J2026" s="28"/>
      <c r="K2026" s="28"/>
      <c r="L2026" s="53"/>
    </row>
    <row r="2027" spans="1:12" x14ac:dyDescent="0.2">
      <c r="A2027" s="476"/>
      <c r="B2027" s="43"/>
      <c r="C2027" s="43">
        <v>810</v>
      </c>
      <c r="D2027" s="43"/>
      <c r="E2027" s="518"/>
      <c r="F2027" s="284"/>
      <c r="G2027" s="41"/>
      <c r="H2027" s="286"/>
      <c r="I2027" s="260" t="s">
        <v>47</v>
      </c>
      <c r="J2027" s="67"/>
      <c r="K2027" s="67"/>
      <c r="L2027" s="192"/>
    </row>
    <row r="2028" spans="1:12" x14ac:dyDescent="0.2">
      <c r="A2028" s="476"/>
      <c r="B2028" s="43"/>
      <c r="D2028" s="476"/>
      <c r="E2028" s="518"/>
      <c r="F2028" s="284"/>
      <c r="G2028" s="41"/>
      <c r="H2028" s="285"/>
      <c r="I2028" s="206"/>
      <c r="J2028" s="28"/>
      <c r="K2028" s="28"/>
      <c r="L2028" s="68"/>
    </row>
    <row r="2029" spans="1:12" x14ac:dyDescent="0.2">
      <c r="A2029" s="476"/>
      <c r="B2029" s="43"/>
      <c r="D2029" s="476"/>
      <c r="E2029" s="518"/>
      <c r="F2029" s="284">
        <v>402</v>
      </c>
      <c r="G2029" s="41"/>
      <c r="H2029" s="285" t="s">
        <v>80</v>
      </c>
      <c r="I2029" s="243" t="s">
        <v>9</v>
      </c>
      <c r="J2029" s="51">
        <f>130000+498750</f>
        <v>628750</v>
      </c>
      <c r="K2029" s="51"/>
      <c r="L2029" s="51">
        <f>SUM(J2029:K2029)</f>
        <v>628750</v>
      </c>
    </row>
    <row r="2030" spans="1:12" x14ac:dyDescent="0.2">
      <c r="A2030" s="476"/>
      <c r="B2030" s="43"/>
      <c r="D2030" s="476"/>
      <c r="E2030" s="518"/>
      <c r="F2030" s="284">
        <v>403</v>
      </c>
      <c r="G2030" s="41"/>
      <c r="H2030" s="285" t="s">
        <v>269</v>
      </c>
      <c r="I2030" s="243" t="s">
        <v>35</v>
      </c>
      <c r="J2030" s="51">
        <v>12000</v>
      </c>
      <c r="K2030" s="51"/>
      <c r="L2030" s="51">
        <f t="shared" ref="L2030:L2034" si="119">SUM(J2030:K2030)</f>
        <v>12000</v>
      </c>
    </row>
    <row r="2031" spans="1:12" x14ac:dyDescent="0.2">
      <c r="A2031" s="476"/>
      <c r="B2031" s="43"/>
      <c r="D2031" s="476"/>
      <c r="E2031" s="518"/>
      <c r="F2031" s="284">
        <v>404</v>
      </c>
      <c r="G2031" s="41"/>
      <c r="H2031" s="285" t="s">
        <v>570</v>
      </c>
      <c r="I2031" s="245" t="s">
        <v>21</v>
      </c>
      <c r="J2031" s="56">
        <v>65000</v>
      </c>
      <c r="K2031" s="51"/>
      <c r="L2031" s="51">
        <f t="shared" si="119"/>
        <v>65000</v>
      </c>
    </row>
    <row r="2032" spans="1:12" x14ac:dyDescent="0.2">
      <c r="A2032" s="476"/>
      <c r="B2032" s="43"/>
      <c r="D2032" s="476"/>
      <c r="E2032" s="518"/>
      <c r="F2032" s="284"/>
      <c r="G2032" s="293"/>
      <c r="H2032" s="284"/>
      <c r="I2032" s="202" t="s">
        <v>735</v>
      </c>
      <c r="J2032" s="48">
        <f>SUM(J2029:J2031)</f>
        <v>705750</v>
      </c>
      <c r="K2032" s="52"/>
      <c r="L2032" s="52">
        <f t="shared" si="119"/>
        <v>705750</v>
      </c>
    </row>
    <row r="2033" spans="1:16" x14ac:dyDescent="0.2">
      <c r="A2033" s="476"/>
      <c r="B2033" s="43"/>
      <c r="D2033" s="476"/>
      <c r="E2033" s="518"/>
      <c r="F2033" s="284"/>
      <c r="G2033" s="47" t="s">
        <v>37</v>
      </c>
      <c r="H2033" s="284"/>
      <c r="I2033" s="194" t="s">
        <v>38</v>
      </c>
      <c r="J2033" s="45">
        <f>SUM(J2032-J2034)</f>
        <v>30000</v>
      </c>
      <c r="K2033" s="52"/>
      <c r="L2033" s="46">
        <f t="shared" si="119"/>
        <v>30000</v>
      </c>
    </row>
    <row r="2034" spans="1:16" ht="15" x14ac:dyDescent="0.2">
      <c r="A2034" s="476"/>
      <c r="B2034" s="43"/>
      <c r="C2034" s="646"/>
      <c r="E2034" s="518"/>
      <c r="F2034" s="284"/>
      <c r="G2034" s="47" t="s">
        <v>113</v>
      </c>
      <c r="H2034" s="284"/>
      <c r="I2034" s="243" t="s">
        <v>280</v>
      </c>
      <c r="J2034" s="51">
        <v>675750</v>
      </c>
      <c r="K2034" s="51"/>
      <c r="L2034" s="51">
        <f t="shared" si="119"/>
        <v>675750</v>
      </c>
    </row>
    <row r="2035" spans="1:16" ht="15" x14ac:dyDescent="0.2">
      <c r="A2035" s="476"/>
      <c r="B2035" s="43"/>
      <c r="C2035" s="646"/>
      <c r="E2035" s="518"/>
      <c r="F2035" s="284"/>
      <c r="G2035" s="47"/>
      <c r="H2035" s="284"/>
      <c r="I2035" s="191"/>
      <c r="J2035" s="28"/>
      <c r="K2035" s="28"/>
      <c r="L2035" s="68"/>
    </row>
    <row r="2036" spans="1:16" x14ac:dyDescent="0.2">
      <c r="A2036" s="476"/>
      <c r="B2036" s="43"/>
      <c r="E2036" s="518"/>
      <c r="F2036" s="284"/>
      <c r="G2036" s="41"/>
      <c r="H2036" s="286"/>
      <c r="I2036" s="260" t="s">
        <v>47</v>
      </c>
      <c r="J2036" s="299"/>
      <c r="K2036" s="299"/>
      <c r="L2036" s="49"/>
    </row>
    <row r="2037" spans="1:16" x14ac:dyDescent="0.2">
      <c r="B2037" s="43"/>
      <c r="D2037" s="476"/>
      <c r="E2037" s="518"/>
      <c r="F2037" s="284"/>
      <c r="G2037" s="41"/>
      <c r="H2037" s="284"/>
      <c r="I2037" s="206"/>
      <c r="J2037" s="28"/>
      <c r="K2037" s="28"/>
      <c r="L2037" s="68"/>
    </row>
    <row r="2038" spans="1:16" x14ac:dyDescent="0.2">
      <c r="B2038" s="43"/>
      <c r="D2038" s="476"/>
      <c r="E2038" s="520"/>
      <c r="F2038" s="358"/>
      <c r="G2038" s="307"/>
      <c r="H2038" s="360"/>
      <c r="I2038" s="312" t="s">
        <v>799</v>
      </c>
      <c r="J2038" s="71"/>
      <c r="K2038" s="71"/>
      <c r="L2038" s="233"/>
    </row>
    <row r="2039" spans="1:16" x14ac:dyDescent="0.2">
      <c r="A2039" s="476"/>
      <c r="B2039" s="43"/>
      <c r="D2039" s="476"/>
      <c r="E2039" s="518"/>
      <c r="F2039" s="284">
        <v>405</v>
      </c>
      <c r="G2039" s="41"/>
      <c r="H2039" s="284">
        <v>421</v>
      </c>
      <c r="I2039" s="243" t="s">
        <v>7</v>
      </c>
      <c r="J2039" s="51">
        <v>5500000</v>
      </c>
      <c r="K2039" s="51"/>
      <c r="L2039" s="51">
        <f>SUM(J2039+K2039)</f>
        <v>5500000</v>
      </c>
    </row>
    <row r="2040" spans="1:16" x14ac:dyDescent="0.2">
      <c r="A2040" s="44" t="s">
        <v>700</v>
      </c>
      <c r="B2040" s="43"/>
      <c r="C2040" s="463"/>
      <c r="D2040" s="463"/>
      <c r="E2040" s="523"/>
      <c r="F2040" s="284"/>
      <c r="G2040" s="47" t="s">
        <v>37</v>
      </c>
      <c r="H2040" s="286"/>
      <c r="I2040" s="194" t="s">
        <v>38</v>
      </c>
      <c r="J2040" s="56">
        <f>SUM(J2039)</f>
        <v>5500000</v>
      </c>
      <c r="K2040" s="52"/>
      <c r="L2040" s="51">
        <f>SUM(J2040+K2040)</f>
        <v>5500000</v>
      </c>
      <c r="M2040" s="1000"/>
    </row>
    <row r="2041" spans="1:16" x14ac:dyDescent="0.2">
      <c r="B2041" s="43"/>
      <c r="C2041" s="463"/>
      <c r="D2041" s="463"/>
      <c r="E2041" s="523"/>
      <c r="F2041" s="284"/>
      <c r="G2041" s="41"/>
      <c r="H2041" s="285"/>
      <c r="I2041" s="202" t="s">
        <v>710</v>
      </c>
      <c r="J2041" s="52">
        <f>SUM(J2040)</f>
        <v>5500000</v>
      </c>
      <c r="K2041" s="52"/>
      <c r="L2041" s="52">
        <f>SUM(L2040)</f>
        <v>5500000</v>
      </c>
    </row>
    <row r="2042" spans="1:16" x14ac:dyDescent="0.2">
      <c r="B2042" s="43"/>
      <c r="C2042" s="463"/>
      <c r="D2042" s="463"/>
      <c r="E2042" s="523"/>
      <c r="F2042" s="284"/>
      <c r="G2042" s="41"/>
      <c r="H2042" s="285"/>
      <c r="I2042" s="242"/>
      <c r="J2042" s="27"/>
      <c r="K2042" s="27"/>
      <c r="L2042" s="53"/>
    </row>
    <row r="2043" spans="1:16" ht="22.5" x14ac:dyDescent="0.2">
      <c r="B2043" s="43"/>
      <c r="C2043" s="463"/>
      <c r="D2043" s="463"/>
      <c r="E2043" s="520"/>
      <c r="F2043" s="358"/>
      <c r="G2043" s="307"/>
      <c r="H2043" s="360"/>
      <c r="I2043" s="786" t="s">
        <v>1039</v>
      </c>
      <c r="J2043" s="52"/>
      <c r="K2043" s="52"/>
      <c r="L2043" s="52"/>
    </row>
    <row r="2044" spans="1:16" x14ac:dyDescent="0.2">
      <c r="B2044" s="43"/>
      <c r="C2044" s="463"/>
      <c r="D2044" s="463"/>
      <c r="E2044" s="523"/>
      <c r="F2044" s="284" t="s">
        <v>1038</v>
      </c>
      <c r="G2044" s="41"/>
      <c r="H2044" s="285" t="s">
        <v>270</v>
      </c>
      <c r="I2044" s="39" t="s">
        <v>20</v>
      </c>
      <c r="J2044" s="46">
        <v>13000000</v>
      </c>
      <c r="K2044" s="52"/>
      <c r="L2044" s="46">
        <f>SUM(J2044:K2044)</f>
        <v>13000000</v>
      </c>
    </row>
    <row r="2045" spans="1:16" x14ac:dyDescent="0.2">
      <c r="B2045" s="43"/>
      <c r="C2045" s="463"/>
      <c r="D2045" s="463"/>
      <c r="E2045" s="523"/>
      <c r="F2045" s="284"/>
      <c r="G2045" s="47" t="s">
        <v>37</v>
      </c>
      <c r="H2045" s="285"/>
      <c r="I2045" s="194" t="s">
        <v>38</v>
      </c>
      <c r="J2045" s="46">
        <f>SUM(J2044)</f>
        <v>13000000</v>
      </c>
      <c r="K2045" s="52"/>
      <c r="L2045" s="46">
        <f t="shared" ref="L2045:L2046" si="120">SUM(J2045:K2045)</f>
        <v>13000000</v>
      </c>
    </row>
    <row r="2046" spans="1:16" x14ac:dyDescent="0.2">
      <c r="B2046" s="43"/>
      <c r="C2046" s="463"/>
      <c r="D2046" s="463"/>
      <c r="E2046" s="523"/>
      <c r="F2046" s="284"/>
      <c r="G2046" s="41"/>
      <c r="H2046" s="285"/>
      <c r="I2046" s="202" t="s">
        <v>710</v>
      </c>
      <c r="J2046" s="52">
        <f>SUM(J2045)</f>
        <v>13000000</v>
      </c>
      <c r="K2046" s="52"/>
      <c r="L2046" s="174">
        <f t="shared" si="120"/>
        <v>13000000</v>
      </c>
    </row>
    <row r="2047" spans="1:16" x14ac:dyDescent="0.2">
      <c r="B2047" s="43"/>
      <c r="C2047" s="463"/>
      <c r="D2047" s="463"/>
      <c r="E2047" s="523"/>
      <c r="F2047" s="284"/>
      <c r="G2047" s="294"/>
      <c r="H2047" s="286"/>
      <c r="I2047" s="239"/>
      <c r="J2047" s="27"/>
      <c r="K2047" s="28"/>
      <c r="L2047" s="53"/>
    </row>
    <row r="2048" spans="1:16" s="171" customFormat="1" ht="15" x14ac:dyDescent="0.25">
      <c r="A2048" s="44"/>
      <c r="B2048" s="43"/>
      <c r="C2048" s="43">
        <v>620</v>
      </c>
      <c r="D2048" s="477"/>
      <c r="E2048" s="518"/>
      <c r="F2048" s="284"/>
      <c r="G2048" s="41"/>
      <c r="H2048" s="433"/>
      <c r="I2048" s="206" t="s">
        <v>105</v>
      </c>
      <c r="J2048" s="27"/>
      <c r="K2048" s="27"/>
      <c r="L2048" s="53"/>
      <c r="M2048" s="992"/>
      <c r="N2048" s="653"/>
      <c r="O2048" s="169"/>
      <c r="P2048" s="821"/>
    </row>
    <row r="2049" spans="1:14" ht="15" x14ac:dyDescent="0.25">
      <c r="A2049" s="648"/>
      <c r="B2049" s="583"/>
      <c r="D2049" s="477"/>
      <c r="E2049" s="518"/>
      <c r="F2049" s="284"/>
      <c r="G2049" s="41"/>
      <c r="H2049" s="288"/>
      <c r="I2049" s="206"/>
      <c r="J2049" s="27"/>
      <c r="K2049" s="27"/>
      <c r="L2049" s="53"/>
    </row>
    <row r="2050" spans="1:14" ht="15" x14ac:dyDescent="0.25">
      <c r="A2050" s="334"/>
      <c r="B2050" s="401"/>
      <c r="D2050" s="476"/>
      <c r="E2050" s="519"/>
      <c r="F2050" s="404"/>
      <c r="G2050" s="302"/>
      <c r="H2050" s="434"/>
      <c r="I2050" s="363" t="s">
        <v>412</v>
      </c>
      <c r="J2050" s="364"/>
      <c r="K2050" s="455"/>
      <c r="L2050" s="304"/>
    </row>
    <row r="2051" spans="1:14" ht="15" x14ac:dyDescent="0.25">
      <c r="A2051" s="334"/>
      <c r="B2051" s="401"/>
      <c r="D2051" s="476"/>
      <c r="E2051" s="519" t="s">
        <v>465</v>
      </c>
      <c r="F2051" s="404"/>
      <c r="G2051" s="302"/>
      <c r="H2051" s="434"/>
      <c r="I2051" s="365" t="s">
        <v>466</v>
      </c>
      <c r="J2051" s="366"/>
      <c r="K2051" s="447"/>
      <c r="L2051" s="367"/>
    </row>
    <row r="2052" spans="1:14" x14ac:dyDescent="0.2">
      <c r="A2052" s="334"/>
      <c r="B2052" s="401"/>
      <c r="C2052" s="401"/>
      <c r="D2052" s="478"/>
      <c r="E2052" s="521"/>
      <c r="F2052" s="406"/>
      <c r="G2052" s="294"/>
      <c r="H2052" s="284"/>
      <c r="I2052" s="239"/>
      <c r="J2052" s="28"/>
      <c r="K2052" s="27"/>
      <c r="L2052" s="53"/>
    </row>
    <row r="2053" spans="1:14" x14ac:dyDescent="0.2">
      <c r="A2053" s="334"/>
      <c r="B2053" s="401"/>
      <c r="C2053" s="401"/>
      <c r="D2053" s="478"/>
      <c r="E2053" s="521"/>
      <c r="F2053" s="406">
        <v>406</v>
      </c>
      <c r="G2053" s="203"/>
      <c r="H2053" s="432" t="s">
        <v>46</v>
      </c>
      <c r="I2053" s="262" t="s">
        <v>656</v>
      </c>
      <c r="J2053" s="51">
        <v>6078400</v>
      </c>
      <c r="K2053" s="51"/>
      <c r="L2053" s="51">
        <f>SUM(J2053:K2053)</f>
        <v>6078400</v>
      </c>
    </row>
    <row r="2054" spans="1:14" x14ac:dyDescent="0.2">
      <c r="A2054" s="334"/>
      <c r="B2054" s="401"/>
      <c r="C2054" s="401"/>
      <c r="D2054" s="722"/>
      <c r="E2054" s="521"/>
      <c r="F2054" s="406">
        <v>407</v>
      </c>
      <c r="G2054" s="203"/>
      <c r="H2054" s="432" t="s">
        <v>82</v>
      </c>
      <c r="I2054" s="240" t="s">
        <v>658</v>
      </c>
      <c r="J2054" s="963">
        <v>61000000</v>
      </c>
      <c r="K2054" s="963"/>
      <c r="L2054" s="963">
        <f t="shared" ref="L2054:L2056" si="121">SUM(J2054:K2054)</f>
        <v>61000000</v>
      </c>
      <c r="N2054" s="970"/>
    </row>
    <row r="2055" spans="1:14" x14ac:dyDescent="0.2">
      <c r="A2055" s="648"/>
      <c r="B2055" s="583"/>
      <c r="C2055" s="583"/>
      <c r="D2055" s="562"/>
      <c r="E2055" s="563"/>
      <c r="F2055" s="406"/>
      <c r="G2055" s="47" t="s">
        <v>37</v>
      </c>
      <c r="H2055" s="286"/>
      <c r="I2055" s="194" t="s">
        <v>38</v>
      </c>
      <c r="J2055" s="51">
        <f>SUM(J2053:J2054)</f>
        <v>67078400</v>
      </c>
      <c r="K2055" s="52"/>
      <c r="L2055" s="51">
        <f t="shared" si="121"/>
        <v>67078400</v>
      </c>
    </row>
    <row r="2056" spans="1:14" x14ac:dyDescent="0.2">
      <c r="B2056" s="43"/>
      <c r="D2056" s="477"/>
      <c r="E2056" s="518"/>
      <c r="F2056" s="406"/>
      <c r="G2056" s="203"/>
      <c r="H2056" s="432"/>
      <c r="I2056" s="202" t="s">
        <v>620</v>
      </c>
      <c r="J2056" s="52">
        <f>SUM(J2055)</f>
        <v>67078400</v>
      </c>
      <c r="K2056" s="52"/>
      <c r="L2056" s="52">
        <f t="shared" si="121"/>
        <v>67078400</v>
      </c>
    </row>
    <row r="2057" spans="1:14" x14ac:dyDescent="0.2">
      <c r="A2057" s="334"/>
      <c r="B2057" s="401"/>
      <c r="C2057" s="401"/>
      <c r="D2057" s="478"/>
      <c r="E2057" s="521"/>
      <c r="F2057" s="407"/>
      <c r="G2057" s="203"/>
      <c r="H2057" s="432"/>
      <c r="I2057" s="17"/>
      <c r="J2057" s="27"/>
      <c r="K2057" s="28"/>
      <c r="L2057" s="53"/>
    </row>
    <row r="2058" spans="1:14" x14ac:dyDescent="0.2">
      <c r="A2058" s="334"/>
      <c r="B2058" s="401"/>
      <c r="C2058" s="401"/>
      <c r="D2058" s="722"/>
      <c r="E2058" s="521"/>
      <c r="F2058" s="284"/>
      <c r="G2058" s="41"/>
      <c r="H2058" s="441"/>
      <c r="I2058" s="260" t="s">
        <v>105</v>
      </c>
      <c r="J2058" s="299"/>
      <c r="K2058" s="299"/>
      <c r="L2058" s="49"/>
    </row>
    <row r="2059" spans="1:14" ht="15" x14ac:dyDescent="0.25">
      <c r="A2059" s="334"/>
      <c r="B2059" s="401"/>
      <c r="C2059" s="401"/>
      <c r="D2059" s="722"/>
      <c r="E2059" s="521"/>
      <c r="F2059" s="284"/>
      <c r="G2059" s="203"/>
      <c r="H2059" s="288"/>
      <c r="I2059" s="17"/>
      <c r="J2059" s="27"/>
      <c r="K2059" s="28"/>
      <c r="L2059" s="53"/>
    </row>
    <row r="2060" spans="1:14" ht="33.75" x14ac:dyDescent="0.2">
      <c r="A2060" s="334"/>
      <c r="B2060" s="401"/>
      <c r="C2060" s="401"/>
      <c r="D2060" s="722"/>
      <c r="E2060" s="520" t="s">
        <v>240</v>
      </c>
      <c r="F2060" s="358"/>
      <c r="G2060" s="456"/>
      <c r="H2060" s="358"/>
      <c r="I2060" s="457" t="s">
        <v>798</v>
      </c>
      <c r="J2060" s="351"/>
      <c r="K2060" s="352"/>
      <c r="L2060" s="353"/>
    </row>
    <row r="2061" spans="1:14" x14ac:dyDescent="0.2">
      <c r="A2061" s="334"/>
      <c r="B2061" s="401"/>
      <c r="C2061" s="401"/>
      <c r="D2061" s="722"/>
      <c r="E2061" s="521"/>
      <c r="F2061" s="284">
        <v>408</v>
      </c>
      <c r="G2061" s="41"/>
      <c r="H2061" s="432" t="s">
        <v>270</v>
      </c>
      <c r="I2061" s="243" t="s">
        <v>20</v>
      </c>
      <c r="J2061" s="1114">
        <v>30001000</v>
      </c>
      <c r="K2061" s="1115"/>
      <c r="L2061" s="1114">
        <f>SUM(J2061+K2061)</f>
        <v>30001000</v>
      </c>
    </row>
    <row r="2062" spans="1:14" x14ac:dyDescent="0.2">
      <c r="A2062" s="334"/>
      <c r="B2062" s="401"/>
      <c r="C2062" s="401"/>
      <c r="D2062" s="722"/>
      <c r="E2062" s="521"/>
      <c r="F2062" s="284"/>
      <c r="G2062" s="47" t="s">
        <v>37</v>
      </c>
      <c r="H2062" s="285"/>
      <c r="I2062" s="194" t="s">
        <v>38</v>
      </c>
      <c r="J2062" s="1114">
        <f>SUM(J2064-J2063)</f>
        <v>30000000</v>
      </c>
      <c r="K2062" s="1115"/>
      <c r="L2062" s="1114">
        <f>SUM(J2062+K2062)</f>
        <v>30000000</v>
      </c>
    </row>
    <row r="2063" spans="1:14" x14ac:dyDescent="0.2">
      <c r="A2063" s="334"/>
      <c r="B2063" s="401"/>
      <c r="C2063" s="401"/>
      <c r="D2063" s="478"/>
      <c r="E2063" s="521"/>
      <c r="F2063" s="284"/>
      <c r="G2063" s="41" t="s">
        <v>113</v>
      </c>
      <c r="H2063" s="284"/>
      <c r="I2063" s="243" t="s">
        <v>280</v>
      </c>
      <c r="J2063" s="1114">
        <v>1000</v>
      </c>
      <c r="K2063" s="1115"/>
      <c r="L2063" s="1114">
        <f>SUM(J2063+K2063)</f>
        <v>1000</v>
      </c>
    </row>
    <row r="2064" spans="1:14" x14ac:dyDescent="0.2">
      <c r="A2064" s="334"/>
      <c r="B2064" s="401"/>
      <c r="C2064" s="401"/>
      <c r="D2064" s="478"/>
      <c r="E2064" s="521"/>
      <c r="F2064" s="406"/>
      <c r="G2064" s="41"/>
      <c r="H2064" s="286"/>
      <c r="I2064" s="280" t="s">
        <v>710</v>
      </c>
      <c r="J2064" s="1116">
        <f>SUM(J2061)</f>
        <v>30001000</v>
      </c>
      <c r="K2064" s="1117"/>
      <c r="L2064" s="1116">
        <f>SUM(J2064:K2064)</f>
        <v>30001000</v>
      </c>
    </row>
    <row r="2065" spans="1:14" x14ac:dyDescent="0.2">
      <c r="A2065" s="334"/>
      <c r="B2065" s="401"/>
      <c r="C2065" s="401"/>
      <c r="D2065" s="478"/>
      <c r="E2065" s="521"/>
      <c r="F2065" s="284"/>
      <c r="G2065" s="203"/>
      <c r="H2065" s="284"/>
      <c r="I2065" s="17"/>
      <c r="J2065" s="27"/>
      <c r="K2065" s="28"/>
      <c r="L2065" s="53"/>
    </row>
    <row r="2066" spans="1:14" ht="33.75" x14ac:dyDescent="0.2">
      <c r="A2066" s="334"/>
      <c r="B2066" s="401"/>
      <c r="C2066" s="401"/>
      <c r="D2066" s="478"/>
      <c r="E2066" s="520" t="s">
        <v>240</v>
      </c>
      <c r="F2066" s="358"/>
      <c r="G2066" s="307"/>
      <c r="H2066" s="429"/>
      <c r="I2066" s="368" t="s">
        <v>749</v>
      </c>
      <c r="J2066" s="136"/>
      <c r="K2066" s="299"/>
      <c r="L2066" s="49"/>
    </row>
    <row r="2067" spans="1:14" x14ac:dyDescent="0.2">
      <c r="B2067" s="43"/>
      <c r="D2067" s="476"/>
      <c r="E2067" s="518"/>
      <c r="F2067" s="284">
        <v>409</v>
      </c>
      <c r="G2067" s="41"/>
      <c r="H2067" s="285" t="s">
        <v>46</v>
      </c>
      <c r="I2067" s="194" t="s">
        <v>10</v>
      </c>
      <c r="J2067" s="56">
        <v>600000</v>
      </c>
      <c r="K2067" s="52"/>
      <c r="L2067" s="51">
        <f>SUM(J2067+K2067)</f>
        <v>600000</v>
      </c>
    </row>
    <row r="2068" spans="1:14" ht="15" x14ac:dyDescent="0.25">
      <c r="B2068" s="43"/>
      <c r="D2068" s="476"/>
      <c r="E2068" s="518"/>
      <c r="F2068" s="284"/>
      <c r="G2068" s="47" t="s">
        <v>37</v>
      </c>
      <c r="H2068" s="288"/>
      <c r="I2068" s="194" t="s">
        <v>38</v>
      </c>
      <c r="J2068" s="56">
        <f>SUM(J2067)</f>
        <v>600000</v>
      </c>
      <c r="K2068" s="52"/>
      <c r="L2068" s="51">
        <f>SUM(J2068+K2068)</f>
        <v>600000</v>
      </c>
    </row>
    <row r="2069" spans="1:14" ht="15" x14ac:dyDescent="0.25">
      <c r="B2069" s="43"/>
      <c r="D2069" s="476"/>
      <c r="E2069" s="518"/>
      <c r="F2069" s="284"/>
      <c r="G2069" s="41"/>
      <c r="H2069" s="288"/>
      <c r="I2069" s="202" t="s">
        <v>710</v>
      </c>
      <c r="J2069" s="48">
        <f>SUM(J2068)</f>
        <v>600000</v>
      </c>
      <c r="K2069" s="52"/>
      <c r="L2069" s="52">
        <f>SUM(L2068)</f>
        <v>600000</v>
      </c>
    </row>
    <row r="2070" spans="1:14" ht="15" x14ac:dyDescent="0.25">
      <c r="B2070" s="43"/>
      <c r="D2070" s="476"/>
      <c r="E2070" s="518"/>
      <c r="F2070" s="284"/>
      <c r="G2070" s="41"/>
      <c r="H2070" s="288"/>
      <c r="I2070" s="172"/>
      <c r="J2070" s="354"/>
      <c r="K2070" s="27"/>
      <c r="L2070" s="53"/>
    </row>
    <row r="2071" spans="1:14" ht="15" x14ac:dyDescent="0.25">
      <c r="B2071" s="43"/>
      <c r="D2071" s="476"/>
      <c r="E2071" s="520" t="s">
        <v>240</v>
      </c>
      <c r="F2071" s="358"/>
      <c r="G2071" s="307"/>
      <c r="H2071" s="431"/>
      <c r="I2071" s="368" t="s">
        <v>748</v>
      </c>
      <c r="J2071" s="136"/>
      <c r="K2071" s="299"/>
      <c r="L2071" s="49"/>
    </row>
    <row r="2072" spans="1:14" x14ac:dyDescent="0.2">
      <c r="B2072" s="43"/>
      <c r="D2072" s="476"/>
      <c r="E2072" s="518"/>
      <c r="F2072" s="792" t="s">
        <v>962</v>
      </c>
      <c r="G2072" s="793"/>
      <c r="H2072" s="794" t="s">
        <v>46</v>
      </c>
      <c r="I2072" s="807" t="s">
        <v>10</v>
      </c>
      <c r="J2072" s="816">
        <v>400000</v>
      </c>
      <c r="K2072" s="817"/>
      <c r="L2072" s="797">
        <f>SUM(J2072:K2072)</f>
        <v>400000</v>
      </c>
    </row>
    <row r="2073" spans="1:14" x14ac:dyDescent="0.2">
      <c r="B2073" s="43"/>
      <c r="D2073" s="476"/>
      <c r="E2073" s="518"/>
      <c r="F2073" s="284">
        <v>410</v>
      </c>
      <c r="G2073" s="41"/>
      <c r="H2073" s="284">
        <v>511</v>
      </c>
      <c r="I2073" s="194" t="s">
        <v>20</v>
      </c>
      <c r="J2073" s="56">
        <v>30601000</v>
      </c>
      <c r="K2073" s="52"/>
      <c r="L2073" s="51">
        <f>SUM(J2073:K2073)</f>
        <v>30601000</v>
      </c>
      <c r="N2073" s="970"/>
    </row>
    <row r="2074" spans="1:14" x14ac:dyDescent="0.2">
      <c r="B2074" s="43"/>
      <c r="D2074" s="476"/>
      <c r="E2074" s="518"/>
      <c r="F2074" s="284">
        <v>411</v>
      </c>
      <c r="G2074" s="41"/>
      <c r="H2074" s="284">
        <v>541</v>
      </c>
      <c r="I2074" s="194" t="s">
        <v>25</v>
      </c>
      <c r="J2074" s="56">
        <v>2500000</v>
      </c>
      <c r="K2074" s="52"/>
      <c r="L2074" s="51">
        <f t="shared" ref="L2074:L2076" si="122">SUM(J2074:K2074)</f>
        <v>2500000</v>
      </c>
    </row>
    <row r="2075" spans="1:14" x14ac:dyDescent="0.2">
      <c r="B2075" s="43"/>
      <c r="D2075" s="476"/>
      <c r="E2075" s="518"/>
      <c r="F2075" s="284"/>
      <c r="G2075" s="47" t="s">
        <v>37</v>
      </c>
      <c r="H2075" s="284"/>
      <c r="I2075" s="194" t="s">
        <v>38</v>
      </c>
      <c r="J2075" s="56">
        <f>SUM(J2077-J2076)</f>
        <v>33500000</v>
      </c>
      <c r="K2075" s="52"/>
      <c r="L2075" s="51">
        <f t="shared" si="122"/>
        <v>33500000</v>
      </c>
    </row>
    <row r="2076" spans="1:14" x14ac:dyDescent="0.2">
      <c r="B2076" s="43"/>
      <c r="D2076" s="476"/>
      <c r="E2076" s="518"/>
      <c r="F2076" s="284"/>
      <c r="G2076" s="47" t="s">
        <v>113</v>
      </c>
      <c r="H2076" s="285"/>
      <c r="I2076" s="194" t="s">
        <v>418</v>
      </c>
      <c r="J2076" s="56">
        <v>1000</v>
      </c>
      <c r="K2076" s="52"/>
      <c r="L2076" s="51">
        <f t="shared" si="122"/>
        <v>1000</v>
      </c>
    </row>
    <row r="2077" spans="1:14" ht="15" x14ac:dyDescent="0.25">
      <c r="B2077" s="43"/>
      <c r="D2077" s="476"/>
      <c r="E2077" s="518"/>
      <c r="F2077" s="284"/>
      <c r="G2077" s="41"/>
      <c r="H2077" s="288"/>
      <c r="I2077" s="202" t="s">
        <v>710</v>
      </c>
      <c r="J2077" s="48">
        <f>SUM(J2072:J2074)</f>
        <v>33501000</v>
      </c>
      <c r="K2077" s="52"/>
      <c r="L2077" s="52">
        <f>SUM(J2077:K2077)</f>
        <v>33501000</v>
      </c>
    </row>
    <row r="2078" spans="1:14" x14ac:dyDescent="0.2">
      <c r="B2078" s="43"/>
      <c r="D2078" s="476"/>
      <c r="E2078" s="518"/>
      <c r="F2078" s="284"/>
      <c r="G2078" s="41"/>
      <c r="H2078" s="285"/>
      <c r="I2078" s="191"/>
      <c r="J2078" s="333"/>
      <c r="K2078" s="27"/>
      <c r="L2078" s="53"/>
    </row>
    <row r="2079" spans="1:14" ht="22.5" x14ac:dyDescent="0.2">
      <c r="B2079" s="43"/>
      <c r="D2079" s="476"/>
      <c r="E2079" s="520" t="s">
        <v>240</v>
      </c>
      <c r="F2079" s="358"/>
      <c r="G2079" s="307"/>
      <c r="H2079" s="358"/>
      <c r="I2079" s="368" t="s">
        <v>747</v>
      </c>
      <c r="J2079" s="136"/>
      <c r="K2079" s="299"/>
      <c r="L2079" s="49"/>
    </row>
    <row r="2080" spans="1:14" x14ac:dyDescent="0.2">
      <c r="B2080" s="43"/>
      <c r="D2080" s="476"/>
      <c r="E2080" s="518"/>
      <c r="F2080" s="284">
        <v>412</v>
      </c>
      <c r="G2080" s="41"/>
      <c r="H2080" s="284">
        <v>511</v>
      </c>
      <c r="I2080" s="194" t="s">
        <v>20</v>
      </c>
      <c r="J2080" s="56">
        <v>600000</v>
      </c>
      <c r="K2080" s="52"/>
      <c r="L2080" s="51">
        <f>SUM(J2080+K2080)</f>
        <v>600000</v>
      </c>
    </row>
    <row r="2081" spans="2:15" x14ac:dyDescent="0.2">
      <c r="B2081" s="43"/>
      <c r="D2081" s="476"/>
      <c r="E2081" s="518"/>
      <c r="F2081" s="284"/>
      <c r="G2081" s="47" t="s">
        <v>37</v>
      </c>
      <c r="H2081" s="285"/>
      <c r="I2081" s="194" t="s">
        <v>38</v>
      </c>
      <c r="J2081" s="56">
        <f>SUM(J2080)</f>
        <v>600000</v>
      </c>
      <c r="K2081" s="52"/>
      <c r="L2081" s="51">
        <f>SUM(J2080:K2080)</f>
        <v>600000</v>
      </c>
    </row>
    <row r="2082" spans="2:15" ht="15" x14ac:dyDescent="0.25">
      <c r="B2082" s="43"/>
      <c r="D2082" s="476"/>
      <c r="E2082" s="518"/>
      <c r="F2082" s="284"/>
      <c r="G2082" s="41"/>
      <c r="H2082" s="288"/>
      <c r="I2082" s="202" t="s">
        <v>710</v>
      </c>
      <c r="J2082" s="48">
        <f>SUM(J2081:J2081)</f>
        <v>600000</v>
      </c>
      <c r="K2082" s="52"/>
      <c r="L2082" s="52">
        <f>SUM(L2081:L2081)</f>
        <v>600000</v>
      </c>
    </row>
    <row r="2083" spans="2:15" x14ac:dyDescent="0.2">
      <c r="B2083" s="43"/>
      <c r="D2083" s="476"/>
      <c r="E2083" s="518"/>
      <c r="F2083" s="284"/>
      <c r="G2083" s="41"/>
      <c r="H2083" s="285"/>
      <c r="I2083" s="191"/>
      <c r="J2083" s="28"/>
      <c r="K2083" s="27"/>
      <c r="L2083" s="53"/>
    </row>
    <row r="2084" spans="2:15" ht="22.5" x14ac:dyDescent="0.2">
      <c r="B2084" s="43"/>
      <c r="D2084" s="476"/>
      <c r="E2084" s="520" t="s">
        <v>240</v>
      </c>
      <c r="F2084" s="358"/>
      <c r="G2084" s="307"/>
      <c r="H2084" s="360"/>
      <c r="I2084" s="312" t="s">
        <v>897</v>
      </c>
      <c r="J2084" s="109"/>
      <c r="K2084" s="71"/>
      <c r="L2084" s="233"/>
    </row>
    <row r="2085" spans="2:15" x14ac:dyDescent="0.2">
      <c r="B2085" s="43"/>
      <c r="D2085" s="476"/>
      <c r="E2085" s="518"/>
      <c r="F2085" s="284">
        <v>413</v>
      </c>
      <c r="G2085" s="41"/>
      <c r="H2085" s="284">
        <v>511</v>
      </c>
      <c r="I2085" s="194" t="s">
        <v>20</v>
      </c>
      <c r="J2085" s="973">
        <v>1000000</v>
      </c>
      <c r="K2085" s="969"/>
      <c r="L2085" s="963">
        <f>SUM(J2085:K2085)</f>
        <v>1000000</v>
      </c>
    </row>
    <row r="2086" spans="2:15" x14ac:dyDescent="0.2">
      <c r="B2086" s="43"/>
      <c r="D2086" s="476"/>
      <c r="E2086" s="518"/>
      <c r="F2086" s="284"/>
      <c r="G2086" s="47" t="s">
        <v>37</v>
      </c>
      <c r="H2086" s="285"/>
      <c r="I2086" s="194" t="s">
        <v>38</v>
      </c>
      <c r="J2086" s="973">
        <f>SUM(J2085:J2085)</f>
        <v>1000000</v>
      </c>
      <c r="K2086" s="969"/>
      <c r="L2086" s="963">
        <f>SUM(L2085:L2085)</f>
        <v>1000000</v>
      </c>
    </row>
    <row r="2087" spans="2:15" ht="15" x14ac:dyDescent="0.25">
      <c r="B2087" s="43"/>
      <c r="D2087" s="476"/>
      <c r="E2087" s="518"/>
      <c r="F2087" s="284"/>
      <c r="G2087" s="41"/>
      <c r="H2087" s="288"/>
      <c r="I2087" s="202" t="s">
        <v>710</v>
      </c>
      <c r="J2087" s="978">
        <f>SUM(J2086:J2086)</f>
        <v>1000000</v>
      </c>
      <c r="K2087" s="969"/>
      <c r="L2087" s="969">
        <f>SUM(L2086:L2086)</f>
        <v>1000000</v>
      </c>
    </row>
    <row r="2088" spans="2:15" x14ac:dyDescent="0.2">
      <c r="B2088" s="43"/>
      <c r="D2088" s="476"/>
      <c r="E2088" s="518"/>
      <c r="F2088" s="284"/>
      <c r="G2088" s="41"/>
      <c r="H2088" s="285"/>
      <c r="I2088" s="239"/>
      <c r="J2088" s="198"/>
      <c r="K2088" s="27"/>
      <c r="L2088" s="53"/>
    </row>
    <row r="2089" spans="2:15" x14ac:dyDescent="0.2">
      <c r="B2089" s="43"/>
      <c r="D2089" s="476"/>
      <c r="E2089" s="520" t="s">
        <v>240</v>
      </c>
      <c r="F2089" s="358"/>
      <c r="G2089" s="307"/>
      <c r="H2089" s="360"/>
      <c r="I2089" s="312" t="s">
        <v>746</v>
      </c>
      <c r="J2089" s="109"/>
      <c r="K2089" s="71"/>
      <c r="L2089" s="233"/>
    </row>
    <row r="2090" spans="2:15" x14ac:dyDescent="0.2">
      <c r="B2090" s="43"/>
      <c r="D2090" s="476"/>
      <c r="E2090" s="518"/>
      <c r="F2090" s="770">
        <v>414</v>
      </c>
      <c r="G2090" s="771"/>
      <c r="H2090" s="770">
        <v>511</v>
      </c>
      <c r="I2090" s="838" t="s">
        <v>20</v>
      </c>
      <c r="J2090" s="840">
        <v>5280000</v>
      </c>
      <c r="K2090" s="839"/>
      <c r="L2090" s="188">
        <f>SUM(J2090:K2090)</f>
        <v>5280000</v>
      </c>
      <c r="N2090" s="845"/>
      <c r="O2090" s="894"/>
    </row>
    <row r="2091" spans="2:15" x14ac:dyDescent="0.2">
      <c r="B2091" s="43"/>
      <c r="D2091" s="476"/>
      <c r="E2091" s="518"/>
      <c r="F2091" s="770"/>
      <c r="G2091" s="887" t="s">
        <v>37</v>
      </c>
      <c r="H2091" s="772"/>
      <c r="I2091" s="838" t="s">
        <v>38</v>
      </c>
      <c r="J2091" s="840">
        <f>SUM(J2090:J2090)</f>
        <v>5280000</v>
      </c>
      <c r="K2091" s="839"/>
      <c r="L2091" s="188">
        <f>SUM(L2090:L2090)</f>
        <v>5280000</v>
      </c>
      <c r="O2091" s="894"/>
    </row>
    <row r="2092" spans="2:15" ht="15" x14ac:dyDescent="0.25">
      <c r="B2092" s="43"/>
      <c r="D2092" s="476"/>
      <c r="E2092" s="518"/>
      <c r="F2092" s="770"/>
      <c r="G2092" s="771"/>
      <c r="H2092" s="888"/>
      <c r="I2092" s="889" t="s">
        <v>710</v>
      </c>
      <c r="J2092" s="896">
        <f>SUM(J2091:J2091)</f>
        <v>5280000</v>
      </c>
      <c r="K2092" s="839"/>
      <c r="L2092" s="839">
        <f>SUM(L2091:L2091)</f>
        <v>5280000</v>
      </c>
      <c r="O2092" s="894"/>
    </row>
    <row r="2093" spans="2:15" x14ac:dyDescent="0.2">
      <c r="B2093" s="43"/>
      <c r="D2093" s="476"/>
      <c r="E2093" s="518"/>
      <c r="F2093" s="284"/>
      <c r="G2093" s="41"/>
      <c r="H2093" s="285"/>
      <c r="I2093" s="24"/>
      <c r="J2093" s="198"/>
      <c r="K2093" s="27"/>
      <c r="L2093" s="53"/>
      <c r="O2093" s="894"/>
    </row>
    <row r="2094" spans="2:15" ht="22.5" x14ac:dyDescent="0.2">
      <c r="B2094" s="43"/>
      <c r="D2094" s="476"/>
      <c r="E2094" s="520" t="s">
        <v>240</v>
      </c>
      <c r="F2094" s="358"/>
      <c r="G2094" s="307"/>
      <c r="H2094" s="360"/>
      <c r="I2094" s="368" t="s">
        <v>797</v>
      </c>
      <c r="J2094" s="67"/>
      <c r="K2094" s="299"/>
      <c r="L2094" s="49"/>
      <c r="O2094" s="894"/>
    </row>
    <row r="2095" spans="2:15" x14ac:dyDescent="0.2">
      <c r="B2095" s="43"/>
      <c r="D2095" s="476"/>
      <c r="E2095" s="518"/>
      <c r="F2095" s="284">
        <v>415</v>
      </c>
      <c r="G2095" s="41"/>
      <c r="H2095" s="284">
        <v>511</v>
      </c>
      <c r="I2095" s="194" t="s">
        <v>20</v>
      </c>
      <c r="J2095" s="56">
        <v>1700000</v>
      </c>
      <c r="K2095" s="52"/>
      <c r="L2095" s="51">
        <f>SUM(J2095+K2095)</f>
        <v>1700000</v>
      </c>
    </row>
    <row r="2096" spans="2:15" x14ac:dyDescent="0.2">
      <c r="B2096" s="43"/>
      <c r="D2096" s="476"/>
      <c r="E2096" s="518"/>
      <c r="F2096" s="284"/>
      <c r="G2096" s="47" t="s">
        <v>37</v>
      </c>
      <c r="H2096" s="284"/>
      <c r="I2096" s="194" t="s">
        <v>38</v>
      </c>
      <c r="J2096" s="56">
        <f>SUM(J2095)</f>
        <v>1700000</v>
      </c>
      <c r="K2096" s="52"/>
      <c r="L2096" s="51">
        <f>SUM(J2095:K2095)</f>
        <v>1700000</v>
      </c>
      <c r="O2096" s="894"/>
    </row>
    <row r="2097" spans="2:15" x14ac:dyDescent="0.2">
      <c r="B2097" s="43"/>
      <c r="D2097" s="476"/>
      <c r="E2097" s="518"/>
      <c r="F2097" s="284"/>
      <c r="G2097" s="41"/>
      <c r="H2097" s="285"/>
      <c r="I2097" s="202" t="s">
        <v>710</v>
      </c>
      <c r="J2097" s="48">
        <f>SUM(J2096:J2096)</f>
        <v>1700000</v>
      </c>
      <c r="K2097" s="52"/>
      <c r="L2097" s="52">
        <f>SUM(L2096:L2096)</f>
        <v>1700000</v>
      </c>
      <c r="O2097" s="894"/>
    </row>
    <row r="2098" spans="2:15" x14ac:dyDescent="0.2">
      <c r="B2098" s="43"/>
      <c r="D2098" s="476"/>
      <c r="E2098" s="518"/>
      <c r="F2098" s="284"/>
      <c r="G2098" s="41"/>
      <c r="H2098" s="286"/>
      <c r="I2098" s="211"/>
      <c r="J2098" s="234"/>
      <c r="K2098" s="299"/>
      <c r="L2098" s="49"/>
      <c r="O2098" s="894"/>
    </row>
    <row r="2099" spans="2:15" ht="22.5" x14ac:dyDescent="0.2">
      <c r="B2099" s="43"/>
      <c r="D2099" s="476"/>
      <c r="E2099" s="520" t="s">
        <v>240</v>
      </c>
      <c r="F2099" s="358"/>
      <c r="G2099" s="307"/>
      <c r="H2099" s="360"/>
      <c r="I2099" s="373" t="s">
        <v>745</v>
      </c>
      <c r="J2099" s="67"/>
      <c r="K2099" s="299"/>
      <c r="L2099" s="49"/>
    </row>
    <row r="2100" spans="2:15" x14ac:dyDescent="0.2">
      <c r="B2100" s="43"/>
      <c r="D2100" s="476"/>
      <c r="E2100" s="518"/>
      <c r="F2100" s="284">
        <v>416</v>
      </c>
      <c r="G2100" s="41"/>
      <c r="H2100" s="432" t="s">
        <v>270</v>
      </c>
      <c r="I2100" s="194" t="s">
        <v>20</v>
      </c>
      <c r="J2100" s="51">
        <v>14280000</v>
      </c>
      <c r="K2100" s="52"/>
      <c r="L2100" s="51">
        <f>SUM(J2100:K2100)</f>
        <v>14280000</v>
      </c>
    </row>
    <row r="2101" spans="2:15" x14ac:dyDescent="0.2">
      <c r="B2101" s="43"/>
      <c r="D2101" s="476"/>
      <c r="E2101" s="518"/>
      <c r="F2101" s="284">
        <v>417</v>
      </c>
      <c r="G2101" s="41"/>
      <c r="H2101" s="284">
        <v>512</v>
      </c>
      <c r="I2101" s="194" t="s">
        <v>21</v>
      </c>
      <c r="J2101" s="56">
        <v>1000</v>
      </c>
      <c r="K2101" s="52"/>
      <c r="L2101" s="51">
        <f>SUM(J2101+K2101)</f>
        <v>1000</v>
      </c>
    </row>
    <row r="2102" spans="2:15" x14ac:dyDescent="0.2">
      <c r="B2102" s="43"/>
      <c r="D2102" s="476"/>
      <c r="E2102" s="518"/>
      <c r="F2102" s="284"/>
      <c r="G2102" s="47" t="s">
        <v>37</v>
      </c>
      <c r="H2102" s="284"/>
      <c r="I2102" s="194" t="s">
        <v>38</v>
      </c>
      <c r="J2102" s="56">
        <f>SUM(J2100:J2101)</f>
        <v>14281000</v>
      </c>
      <c r="K2102" s="52"/>
      <c r="L2102" s="51">
        <f>SUM(J2102:K2102)</f>
        <v>14281000</v>
      </c>
    </row>
    <row r="2103" spans="2:15" x14ac:dyDescent="0.2">
      <c r="B2103" s="43"/>
      <c r="D2103" s="476"/>
      <c r="E2103" s="518"/>
      <c r="F2103" s="284"/>
      <c r="G2103" s="41"/>
      <c r="H2103" s="285"/>
      <c r="I2103" s="202" t="s">
        <v>710</v>
      </c>
      <c r="J2103" s="48">
        <f>SUM(J2102:J2102)</f>
        <v>14281000</v>
      </c>
      <c r="K2103" s="52"/>
      <c r="L2103" s="52">
        <f>SUM(L2102:L2102)</f>
        <v>14281000</v>
      </c>
    </row>
    <row r="2104" spans="2:15" x14ac:dyDescent="0.2">
      <c r="B2104" s="43"/>
      <c r="D2104" s="476"/>
      <c r="E2104" s="518"/>
      <c r="F2104" s="284"/>
      <c r="G2104" s="41"/>
      <c r="H2104" s="286"/>
      <c r="I2104" s="17"/>
      <c r="J2104" s="198"/>
      <c r="K2104" s="27"/>
      <c r="L2104" s="53"/>
    </row>
    <row r="2105" spans="2:15" ht="22.5" x14ac:dyDescent="0.2">
      <c r="B2105" s="43"/>
      <c r="D2105" s="476"/>
      <c r="E2105" s="520" t="s">
        <v>240</v>
      </c>
      <c r="F2105" s="358"/>
      <c r="G2105" s="307"/>
      <c r="H2105" s="423"/>
      <c r="I2105" s="368" t="s">
        <v>796</v>
      </c>
      <c r="J2105" s="67"/>
      <c r="K2105" s="299"/>
      <c r="L2105" s="49"/>
    </row>
    <row r="2106" spans="2:15" x14ac:dyDescent="0.2">
      <c r="B2106" s="43"/>
      <c r="D2106" s="476"/>
      <c r="E2106" s="518"/>
      <c r="F2106" s="284">
        <v>418</v>
      </c>
      <c r="G2106" s="41"/>
      <c r="H2106" s="285" t="s">
        <v>270</v>
      </c>
      <c r="I2106" s="194" t="s">
        <v>20</v>
      </c>
      <c r="J2106" s="51">
        <v>12852000</v>
      </c>
      <c r="K2106" s="52"/>
      <c r="L2106" s="51">
        <f>SUM(J2106:K2106)</f>
        <v>12852000</v>
      </c>
    </row>
    <row r="2107" spans="2:15" x14ac:dyDescent="0.2">
      <c r="B2107" s="43"/>
      <c r="D2107" s="476"/>
      <c r="E2107" s="518"/>
      <c r="F2107" s="284">
        <v>419</v>
      </c>
      <c r="G2107" s="41"/>
      <c r="H2107" s="285" t="s">
        <v>570</v>
      </c>
      <c r="I2107" s="194" t="s">
        <v>21</v>
      </c>
      <c r="J2107" s="56">
        <v>1000</v>
      </c>
      <c r="K2107" s="52"/>
      <c r="L2107" s="51">
        <f>SUM(J2107+K2107)</f>
        <v>1000</v>
      </c>
    </row>
    <row r="2108" spans="2:15" x14ac:dyDescent="0.2">
      <c r="B2108" s="43"/>
      <c r="D2108" s="476"/>
      <c r="E2108" s="518"/>
      <c r="F2108" s="284"/>
      <c r="G2108" s="47" t="s">
        <v>37</v>
      </c>
      <c r="H2108" s="285"/>
      <c r="I2108" s="194" t="s">
        <v>38</v>
      </c>
      <c r="J2108" s="56">
        <f>SUM(J2110-J2109)</f>
        <v>2958700</v>
      </c>
      <c r="K2108" s="52"/>
      <c r="L2108" s="51">
        <f>SUM(J2108:K2108)</f>
        <v>2958700</v>
      </c>
    </row>
    <row r="2109" spans="2:15" x14ac:dyDescent="0.2">
      <c r="B2109" s="43"/>
      <c r="D2109" s="476"/>
      <c r="E2109" s="518"/>
      <c r="F2109" s="284"/>
      <c r="G2109" s="47" t="s">
        <v>113</v>
      </c>
      <c r="H2109" s="285"/>
      <c r="I2109" s="194" t="s">
        <v>280</v>
      </c>
      <c r="J2109" s="56">
        <v>9894300</v>
      </c>
      <c r="K2109" s="52"/>
      <c r="L2109" s="51">
        <f>SUM(J2109:K2109)</f>
        <v>9894300</v>
      </c>
    </row>
    <row r="2110" spans="2:15" ht="15" x14ac:dyDescent="0.25">
      <c r="B2110" s="43"/>
      <c r="D2110" s="476"/>
      <c r="E2110" s="518"/>
      <c r="F2110" s="284"/>
      <c r="G2110" s="41"/>
      <c r="H2110" s="288"/>
      <c r="I2110" s="202" t="s">
        <v>710</v>
      </c>
      <c r="J2110" s="48">
        <f>SUM(J2106:J2107)</f>
        <v>12853000</v>
      </c>
      <c r="K2110" s="52"/>
      <c r="L2110" s="52">
        <f>SUM(J2110:K2110)</f>
        <v>12853000</v>
      </c>
    </row>
    <row r="2111" spans="2:15" ht="15" x14ac:dyDescent="0.25">
      <c r="B2111" s="43"/>
      <c r="D2111" s="476"/>
      <c r="E2111" s="518"/>
      <c r="F2111" s="284"/>
      <c r="G2111" s="41"/>
      <c r="H2111" s="288"/>
      <c r="I2111" s="24"/>
      <c r="J2111" s="198"/>
      <c r="K2111" s="27"/>
      <c r="L2111" s="53"/>
    </row>
    <row r="2112" spans="2:15" x14ac:dyDescent="0.2">
      <c r="B2112" s="43"/>
      <c r="D2112" s="476"/>
      <c r="E2112" s="520" t="s">
        <v>240</v>
      </c>
      <c r="F2112" s="358"/>
      <c r="G2112" s="307"/>
      <c r="H2112" s="360"/>
      <c r="I2112" s="368" t="s">
        <v>744</v>
      </c>
      <c r="J2112" s="234"/>
      <c r="K2112" s="299"/>
      <c r="L2112" s="49"/>
    </row>
    <row r="2113" spans="2:14" x14ac:dyDescent="0.2">
      <c r="B2113" s="43"/>
      <c r="D2113" s="476"/>
      <c r="E2113" s="518"/>
      <c r="F2113" s="792" t="s">
        <v>961</v>
      </c>
      <c r="G2113" s="793"/>
      <c r="H2113" s="794" t="s">
        <v>46</v>
      </c>
      <c r="I2113" s="807" t="s">
        <v>10</v>
      </c>
      <c r="J2113" s="816">
        <v>400000</v>
      </c>
      <c r="K2113" s="817"/>
      <c r="L2113" s="797">
        <f>SUM(J2113:K2113)</f>
        <v>400000</v>
      </c>
    </row>
    <row r="2114" spans="2:14" x14ac:dyDescent="0.2">
      <c r="B2114" s="43"/>
      <c r="D2114" s="476"/>
      <c r="E2114" s="518"/>
      <c r="F2114" s="284">
        <v>420</v>
      </c>
      <c r="G2114" s="41"/>
      <c r="H2114" s="285" t="s">
        <v>270</v>
      </c>
      <c r="I2114" s="194" t="s">
        <v>20</v>
      </c>
      <c r="J2114" s="56">
        <v>86449329.590000004</v>
      </c>
      <c r="K2114" s="51"/>
      <c r="L2114" s="51">
        <f>SUM(J2114:K2114)</f>
        <v>86449329.590000004</v>
      </c>
    </row>
    <row r="2115" spans="2:14" x14ac:dyDescent="0.2">
      <c r="B2115" s="43"/>
      <c r="D2115" s="476"/>
      <c r="E2115" s="518"/>
      <c r="F2115" s="284"/>
      <c r="G2115" s="47" t="s">
        <v>37</v>
      </c>
      <c r="H2115" s="285"/>
      <c r="I2115" s="194" t="s">
        <v>38</v>
      </c>
      <c r="J2115" s="56">
        <f>SUM(J2117-J2116)</f>
        <v>10400000</v>
      </c>
      <c r="K2115" s="51"/>
      <c r="L2115" s="51">
        <f t="shared" ref="L2115:L2117" si="123">SUM(J2115:K2115)</f>
        <v>10400000</v>
      </c>
    </row>
    <row r="2116" spans="2:14" x14ac:dyDescent="0.2">
      <c r="B2116" s="43"/>
      <c r="D2116" s="476"/>
      <c r="E2116" s="518"/>
      <c r="F2116" s="284"/>
      <c r="G2116" s="47" t="s">
        <v>113</v>
      </c>
      <c r="H2116" s="285"/>
      <c r="I2116" s="194" t="s">
        <v>280</v>
      </c>
      <c r="J2116" s="56">
        <v>76449329.590000004</v>
      </c>
      <c r="K2116" s="51"/>
      <c r="L2116" s="51">
        <f t="shared" si="123"/>
        <v>76449329.590000004</v>
      </c>
    </row>
    <row r="2117" spans="2:14" ht="15" x14ac:dyDescent="0.25">
      <c r="B2117" s="43"/>
      <c r="D2117" s="476"/>
      <c r="E2117" s="518"/>
      <c r="F2117" s="284"/>
      <c r="G2117" s="41"/>
      <c r="H2117" s="288"/>
      <c r="I2117" s="202" t="s">
        <v>710</v>
      </c>
      <c r="J2117" s="48">
        <f>SUM(J2113:J2114)</f>
        <v>86849329.590000004</v>
      </c>
      <c r="K2117" s="52"/>
      <c r="L2117" s="52">
        <f t="shared" si="123"/>
        <v>86849329.590000004</v>
      </c>
    </row>
    <row r="2118" spans="2:14" ht="15" x14ac:dyDescent="0.25">
      <c r="B2118" s="43"/>
      <c r="D2118" s="476"/>
      <c r="E2118" s="518"/>
      <c r="F2118" s="284"/>
      <c r="G2118" s="41"/>
      <c r="H2118" s="288"/>
      <c r="I2118" s="17"/>
      <c r="J2118" s="198"/>
      <c r="K2118" s="27"/>
      <c r="L2118" s="53"/>
    </row>
    <row r="2119" spans="2:14" x14ac:dyDescent="0.2">
      <c r="B2119" s="43"/>
      <c r="D2119" s="476"/>
      <c r="E2119" s="520" t="s">
        <v>240</v>
      </c>
      <c r="F2119" s="358"/>
      <c r="G2119" s="307"/>
      <c r="H2119" s="360"/>
      <c r="I2119" s="368" t="s">
        <v>1086</v>
      </c>
      <c r="J2119" s="234"/>
      <c r="K2119" s="299"/>
      <c r="L2119" s="49"/>
    </row>
    <row r="2120" spans="2:14" x14ac:dyDescent="0.2">
      <c r="B2120" s="43"/>
      <c r="D2120" s="476"/>
      <c r="E2120" s="518"/>
      <c r="F2120" s="792" t="s">
        <v>960</v>
      </c>
      <c r="G2120" s="793"/>
      <c r="H2120" s="794" t="s">
        <v>46</v>
      </c>
      <c r="I2120" s="807" t="s">
        <v>10</v>
      </c>
      <c r="J2120" s="816">
        <v>400000</v>
      </c>
      <c r="K2120" s="817"/>
      <c r="L2120" s="797">
        <f>SUM(J2120:K2120)</f>
        <v>400000</v>
      </c>
    </row>
    <row r="2121" spans="2:14" x14ac:dyDescent="0.2">
      <c r="B2121" s="43"/>
      <c r="D2121" s="476"/>
      <c r="E2121" s="518"/>
      <c r="F2121" s="284">
        <v>421</v>
      </c>
      <c r="G2121" s="41"/>
      <c r="H2121" s="285" t="s">
        <v>270</v>
      </c>
      <c r="I2121" s="194" t="s">
        <v>20</v>
      </c>
      <c r="J2121" s="1114">
        <v>132600000</v>
      </c>
      <c r="K2121" s="1114"/>
      <c r="L2121" s="1114">
        <f>SUM(J2121:K2121)</f>
        <v>132600000</v>
      </c>
    </row>
    <row r="2122" spans="2:14" x14ac:dyDescent="0.2">
      <c r="B2122" s="43"/>
      <c r="D2122" s="476"/>
      <c r="E2122" s="518"/>
      <c r="F2122" s="284"/>
      <c r="G2122" s="47" t="s">
        <v>37</v>
      </c>
      <c r="H2122" s="285"/>
      <c r="I2122" s="194" t="s">
        <v>38</v>
      </c>
      <c r="J2122" s="1114">
        <f>SUM(J2124-J2123)</f>
        <v>3000000</v>
      </c>
      <c r="K2122" s="1114"/>
      <c r="L2122" s="1114">
        <f t="shared" ref="L2122:L2124" si="124">SUM(J2122:K2122)</f>
        <v>3000000</v>
      </c>
      <c r="N2122" s="16"/>
    </row>
    <row r="2123" spans="2:14" x14ac:dyDescent="0.2">
      <c r="B2123" s="43"/>
      <c r="D2123" s="476"/>
      <c r="E2123" s="518"/>
      <c r="F2123" s="284"/>
      <c r="G2123" s="47" t="s">
        <v>113</v>
      </c>
      <c r="H2123" s="285"/>
      <c r="I2123" s="194" t="s">
        <v>280</v>
      </c>
      <c r="J2123" s="1114">
        <v>130000000</v>
      </c>
      <c r="K2123" s="1114"/>
      <c r="L2123" s="1114">
        <f t="shared" si="124"/>
        <v>130000000</v>
      </c>
    </row>
    <row r="2124" spans="2:14" ht="15" x14ac:dyDescent="0.25">
      <c r="B2124" s="43"/>
      <c r="D2124" s="476"/>
      <c r="E2124" s="518"/>
      <c r="F2124" s="284"/>
      <c r="G2124" s="41"/>
      <c r="H2124" s="288"/>
      <c r="I2124" s="202" t="s">
        <v>710</v>
      </c>
      <c r="J2124" s="1116">
        <f>SUM(J2120:J2121)</f>
        <v>133000000</v>
      </c>
      <c r="K2124" s="1116"/>
      <c r="L2124" s="1116">
        <f t="shared" si="124"/>
        <v>133000000</v>
      </c>
    </row>
    <row r="2125" spans="2:14" ht="15" x14ac:dyDescent="0.25">
      <c r="B2125" s="43"/>
      <c r="D2125" s="476"/>
      <c r="E2125" s="518"/>
      <c r="F2125" s="284"/>
      <c r="G2125" s="41"/>
      <c r="H2125" s="288"/>
      <c r="I2125" s="17"/>
      <c r="J2125" s="198"/>
      <c r="K2125" s="27"/>
      <c r="L2125" s="53"/>
    </row>
    <row r="2126" spans="2:14" ht="22.5" x14ac:dyDescent="0.2">
      <c r="B2126" s="43"/>
      <c r="D2126" s="476"/>
      <c r="E2126" s="520" t="s">
        <v>240</v>
      </c>
      <c r="F2126" s="358"/>
      <c r="G2126" s="307"/>
      <c r="H2126" s="360"/>
      <c r="I2126" s="368" t="s">
        <v>743</v>
      </c>
      <c r="J2126" s="234"/>
      <c r="K2126" s="299"/>
      <c r="L2126" s="49"/>
    </row>
    <row r="2127" spans="2:14" x14ac:dyDescent="0.2">
      <c r="B2127" s="43"/>
      <c r="D2127" s="476"/>
      <c r="E2127" s="518"/>
      <c r="F2127" s="284">
        <v>422</v>
      </c>
      <c r="G2127" s="41"/>
      <c r="H2127" s="285" t="s">
        <v>270</v>
      </c>
      <c r="I2127" s="194" t="s">
        <v>20</v>
      </c>
      <c r="J2127" s="973">
        <f>3800000+28840</f>
        <v>3828840</v>
      </c>
      <c r="K2127" s="963"/>
      <c r="L2127" s="963">
        <f>SUM(J2127:K2127)</f>
        <v>3828840</v>
      </c>
    </row>
    <row r="2128" spans="2:14" x14ac:dyDescent="0.2">
      <c r="B2128" s="43"/>
      <c r="D2128" s="476"/>
      <c r="E2128" s="518"/>
      <c r="F2128" s="284"/>
      <c r="G2128" s="47" t="s">
        <v>37</v>
      </c>
      <c r="H2128" s="285"/>
      <c r="I2128" s="194" t="s">
        <v>38</v>
      </c>
      <c r="J2128" s="56">
        <f>SUM(J2127-J2130)</f>
        <v>1828840</v>
      </c>
      <c r="K2128" s="51"/>
      <c r="L2128" s="51">
        <f t="shared" ref="L2128:L2131" si="125">SUM(J2128:K2128)</f>
        <v>1828840</v>
      </c>
    </row>
    <row r="2129" spans="1:12" x14ac:dyDescent="0.2">
      <c r="B2129" s="43"/>
      <c r="D2129" s="476"/>
      <c r="E2129" s="518"/>
      <c r="F2129" s="284"/>
      <c r="G2129" s="47" t="s">
        <v>113</v>
      </c>
      <c r="H2129" s="313"/>
      <c r="I2129" s="194" t="s">
        <v>280</v>
      </c>
      <c r="J2129" s="56">
        <v>0</v>
      </c>
      <c r="K2129" s="51"/>
      <c r="L2129" s="51">
        <f t="shared" si="125"/>
        <v>0</v>
      </c>
    </row>
    <row r="2130" spans="1:12" x14ac:dyDescent="0.2">
      <c r="B2130" s="43"/>
      <c r="D2130" s="476"/>
      <c r="E2130" s="518"/>
      <c r="F2130" s="284"/>
      <c r="G2130" s="47" t="s">
        <v>1081</v>
      </c>
      <c r="H2130" s="313"/>
      <c r="I2130" s="194" t="s">
        <v>1082</v>
      </c>
      <c r="J2130" s="56">
        <v>2000000</v>
      </c>
      <c r="K2130" s="51"/>
      <c r="L2130" s="51">
        <f t="shared" si="125"/>
        <v>2000000</v>
      </c>
    </row>
    <row r="2131" spans="1:12" ht="27" customHeight="1" x14ac:dyDescent="0.2">
      <c r="A2131" s="550"/>
      <c r="B2131" s="401"/>
      <c r="C2131" s="401"/>
      <c r="D2131" s="550"/>
      <c r="E2131" s="521"/>
      <c r="F2131" s="284"/>
      <c r="G2131" s="41"/>
      <c r="H2131" s="284"/>
      <c r="I2131" s="202" t="s">
        <v>710</v>
      </c>
      <c r="J2131" s="48">
        <f>SUM(J2127)</f>
        <v>3828840</v>
      </c>
      <c r="K2131" s="52"/>
      <c r="L2131" s="52">
        <f t="shared" si="125"/>
        <v>3828840</v>
      </c>
    </row>
    <row r="2132" spans="1:12" ht="15.75" customHeight="1" x14ac:dyDescent="0.2">
      <c r="A2132" s="550"/>
      <c r="B2132" s="401"/>
      <c r="C2132" s="401"/>
      <c r="D2132" s="550"/>
      <c r="E2132" s="521"/>
      <c r="F2132" s="284"/>
      <c r="G2132" s="41"/>
      <c r="H2132" s="284"/>
      <c r="I2132" s="242"/>
      <c r="J2132" s="198"/>
      <c r="K2132" s="27"/>
      <c r="L2132" s="53"/>
    </row>
    <row r="2133" spans="1:12" ht="27" customHeight="1" x14ac:dyDescent="0.2">
      <c r="A2133" s="550"/>
      <c r="B2133" s="401"/>
      <c r="C2133" s="401"/>
      <c r="D2133" s="550"/>
      <c r="E2133" s="520" t="s">
        <v>240</v>
      </c>
      <c r="F2133" s="358"/>
      <c r="G2133" s="307"/>
      <c r="H2133" s="360"/>
      <c r="I2133" s="368" t="s">
        <v>1041</v>
      </c>
      <c r="J2133" s="234"/>
      <c r="K2133" s="299"/>
      <c r="L2133" s="49"/>
    </row>
    <row r="2134" spans="1:12" ht="15.75" customHeight="1" x14ac:dyDescent="0.2">
      <c r="A2134" s="550"/>
      <c r="B2134" s="401"/>
      <c r="C2134" s="401"/>
      <c r="D2134" s="550"/>
      <c r="E2134" s="518"/>
      <c r="F2134" s="284" t="s">
        <v>1040</v>
      </c>
      <c r="G2134" s="41"/>
      <c r="H2134" s="285" t="s">
        <v>270</v>
      </c>
      <c r="I2134" s="194" t="s">
        <v>20</v>
      </c>
      <c r="J2134" s="989">
        <v>4644992</v>
      </c>
      <c r="K2134" s="956"/>
      <c r="L2134" s="956">
        <f>SUM(J2134:K2134)</f>
        <v>4644992</v>
      </c>
    </row>
    <row r="2135" spans="1:12" ht="15.75" customHeight="1" x14ac:dyDescent="0.2">
      <c r="A2135" s="550"/>
      <c r="B2135" s="401"/>
      <c r="C2135" s="401"/>
      <c r="D2135" s="550"/>
      <c r="E2135" s="518"/>
      <c r="F2135" s="284"/>
      <c r="G2135" s="47" t="s">
        <v>37</v>
      </c>
      <c r="H2135" s="285"/>
      <c r="I2135" s="194" t="s">
        <v>38</v>
      </c>
      <c r="J2135" s="56">
        <f>SUM(J2137-J2136)</f>
        <v>2000000</v>
      </c>
      <c r="K2135" s="51"/>
      <c r="L2135" s="51">
        <f t="shared" ref="L2135:L2137" si="126">SUM(J2135:K2135)</f>
        <v>2000000</v>
      </c>
    </row>
    <row r="2136" spans="1:12" ht="15.75" customHeight="1" x14ac:dyDescent="0.2">
      <c r="A2136" s="550"/>
      <c r="B2136" s="401"/>
      <c r="C2136" s="401"/>
      <c r="D2136" s="550"/>
      <c r="E2136" s="518"/>
      <c r="F2136" s="284"/>
      <c r="G2136" s="47" t="s">
        <v>113</v>
      </c>
      <c r="H2136" s="313"/>
      <c r="I2136" s="194" t="s">
        <v>280</v>
      </c>
      <c r="J2136" s="56">
        <v>2644992</v>
      </c>
      <c r="K2136" s="51"/>
      <c r="L2136" s="51">
        <f t="shared" si="126"/>
        <v>2644992</v>
      </c>
    </row>
    <row r="2137" spans="1:12" ht="15.75" customHeight="1" x14ac:dyDescent="0.2">
      <c r="A2137" s="550"/>
      <c r="B2137" s="401"/>
      <c r="C2137" s="401"/>
      <c r="D2137" s="550"/>
      <c r="E2137" s="521"/>
      <c r="F2137" s="284"/>
      <c r="G2137" s="41"/>
      <c r="H2137" s="284"/>
      <c r="I2137" s="202" t="s">
        <v>710</v>
      </c>
      <c r="J2137" s="48">
        <f>SUM(J2134)</f>
        <v>4644992</v>
      </c>
      <c r="K2137" s="52"/>
      <c r="L2137" s="52">
        <f t="shared" si="126"/>
        <v>4644992</v>
      </c>
    </row>
    <row r="2138" spans="1:12" ht="15.75" customHeight="1" x14ac:dyDescent="0.2">
      <c r="A2138" s="550"/>
      <c r="B2138" s="401"/>
      <c r="C2138" s="401"/>
      <c r="D2138" s="550"/>
      <c r="E2138" s="521"/>
      <c r="F2138" s="284"/>
      <c r="G2138" s="41"/>
      <c r="H2138" s="284"/>
      <c r="I2138" s="242"/>
      <c r="J2138" s="198"/>
      <c r="K2138" s="27"/>
      <c r="L2138" s="53"/>
    </row>
    <row r="2139" spans="1:12" x14ac:dyDescent="0.2">
      <c r="A2139" s="476"/>
      <c r="B2139" s="43"/>
      <c r="D2139" s="476"/>
      <c r="E2139" s="518"/>
      <c r="F2139" s="284"/>
      <c r="G2139" s="41"/>
      <c r="H2139" s="284"/>
      <c r="I2139" s="17"/>
      <c r="J2139" s="198"/>
      <c r="K2139" s="27"/>
      <c r="L2139" s="53"/>
    </row>
    <row r="2140" spans="1:12" ht="33.75" x14ac:dyDescent="0.2">
      <c r="A2140" s="476"/>
      <c r="B2140" s="43"/>
      <c r="D2140" s="476"/>
      <c r="E2140" s="520" t="s">
        <v>240</v>
      </c>
      <c r="F2140" s="358"/>
      <c r="G2140" s="307"/>
      <c r="H2140" s="458"/>
      <c r="I2140" s="309" t="s">
        <v>1042</v>
      </c>
      <c r="J2140" s="310"/>
      <c r="K2140" s="310"/>
      <c r="L2140" s="311"/>
    </row>
    <row r="2141" spans="1:12" x14ac:dyDescent="0.2">
      <c r="A2141" s="476"/>
      <c r="B2141" s="43"/>
      <c r="D2141" s="476"/>
      <c r="E2141" s="518"/>
      <c r="F2141" s="284" t="s">
        <v>1002</v>
      </c>
      <c r="G2141" s="203"/>
      <c r="H2141" s="432" t="s">
        <v>46</v>
      </c>
      <c r="I2141" s="199" t="s">
        <v>10</v>
      </c>
      <c r="J2141" s="46">
        <v>800000</v>
      </c>
      <c r="K2141" s="46"/>
      <c r="L2141" s="46">
        <f>SUM(J2141:K2141)</f>
        <v>800000</v>
      </c>
    </row>
    <row r="2142" spans="1:12" x14ac:dyDescent="0.2">
      <c r="A2142" s="476"/>
      <c r="B2142" s="43"/>
      <c r="D2142" s="476"/>
      <c r="E2142" s="518"/>
      <c r="F2142" s="284">
        <v>423</v>
      </c>
      <c r="G2142" s="41"/>
      <c r="H2142" s="285" t="s">
        <v>270</v>
      </c>
      <c r="I2142" s="262" t="s">
        <v>20</v>
      </c>
      <c r="J2142" s="46">
        <f>15000000+600000</f>
        <v>15600000</v>
      </c>
      <c r="K2142" s="46"/>
      <c r="L2142" s="46">
        <f>SUM(J2142:K2142)</f>
        <v>15600000</v>
      </c>
    </row>
    <row r="2143" spans="1:12" x14ac:dyDescent="0.2">
      <c r="A2143" s="476"/>
      <c r="B2143" s="43"/>
      <c r="D2143" s="476"/>
      <c r="E2143" s="518"/>
      <c r="F2143" s="284">
        <v>424</v>
      </c>
      <c r="G2143" s="41"/>
      <c r="H2143" s="723" t="s">
        <v>570</v>
      </c>
      <c r="I2143" s="246" t="s">
        <v>21</v>
      </c>
      <c r="J2143" s="46">
        <f>1700000+1800000</f>
        <v>3500000</v>
      </c>
      <c r="K2143" s="46"/>
      <c r="L2143" s="46">
        <f t="shared" ref="L2143:L2145" si="127">SUM(J2143:K2143)</f>
        <v>3500000</v>
      </c>
    </row>
    <row r="2144" spans="1:12" x14ac:dyDescent="0.2">
      <c r="E2144" s="518"/>
      <c r="F2144" s="284"/>
      <c r="G2144" s="41"/>
      <c r="H2144" s="604"/>
      <c r="I2144" s="202" t="s">
        <v>742</v>
      </c>
      <c r="J2144" s="174">
        <f>SUM(J2141:J2143)</f>
        <v>19900000</v>
      </c>
      <c r="K2144" s="174"/>
      <c r="L2144" s="52">
        <f t="shared" si="127"/>
        <v>19900000</v>
      </c>
    </row>
    <row r="2145" spans="1:12" x14ac:dyDescent="0.2">
      <c r="E2145" s="518"/>
      <c r="F2145" s="284"/>
      <c r="G2145" s="47" t="s">
        <v>37</v>
      </c>
      <c r="H2145" s="289"/>
      <c r="I2145" s="194" t="s">
        <v>38</v>
      </c>
      <c r="J2145" s="46">
        <f>SUM(J2144)</f>
        <v>19900000</v>
      </c>
      <c r="K2145" s="46"/>
      <c r="L2145" s="46">
        <f t="shared" si="127"/>
        <v>19900000</v>
      </c>
    </row>
    <row r="2146" spans="1:12" x14ac:dyDescent="0.2">
      <c r="E2146" s="518"/>
      <c r="F2146" s="284"/>
      <c r="G2146" s="47"/>
      <c r="H2146" s="289"/>
      <c r="I2146" s="714"/>
      <c r="J2146" s="699"/>
      <c r="K2146" s="699"/>
      <c r="L2146" s="700"/>
    </row>
    <row r="2147" spans="1:12" ht="22.5" x14ac:dyDescent="0.2">
      <c r="E2147" s="520" t="s">
        <v>240</v>
      </c>
      <c r="F2147" s="358"/>
      <c r="G2147" s="307"/>
      <c r="H2147" s="458"/>
      <c r="I2147" s="309" t="s">
        <v>1004</v>
      </c>
      <c r="J2147" s="699"/>
      <c r="K2147" s="699"/>
      <c r="L2147" s="700"/>
    </row>
    <row r="2148" spans="1:12" x14ac:dyDescent="0.2">
      <c r="E2148" s="518"/>
      <c r="F2148" s="284" t="s">
        <v>1014</v>
      </c>
      <c r="G2148" s="47"/>
      <c r="H2148" s="289" t="s">
        <v>80</v>
      </c>
      <c r="I2148" s="40" t="s">
        <v>9</v>
      </c>
      <c r="J2148" s="46">
        <v>1050000</v>
      </c>
      <c r="K2148" s="46"/>
      <c r="L2148" s="46">
        <f>SUM(J2148:K2148)</f>
        <v>1050000</v>
      </c>
    </row>
    <row r="2149" spans="1:12" x14ac:dyDescent="0.2">
      <c r="E2149" s="518"/>
      <c r="F2149" s="284" t="s">
        <v>1015</v>
      </c>
      <c r="G2149" s="47"/>
      <c r="H2149" s="289" t="s">
        <v>46</v>
      </c>
      <c r="I2149" s="199" t="s">
        <v>10</v>
      </c>
      <c r="J2149" s="46">
        <v>1800000</v>
      </c>
      <c r="K2149" s="46"/>
      <c r="L2149" s="46">
        <f t="shared" ref="L2149:L2150" si="128">SUM(J2149:K2149)</f>
        <v>1800000</v>
      </c>
    </row>
    <row r="2150" spans="1:12" x14ac:dyDescent="0.2">
      <c r="E2150" s="518"/>
      <c r="F2150" s="284" t="s">
        <v>1016</v>
      </c>
      <c r="G2150" s="47"/>
      <c r="H2150" s="289" t="s">
        <v>570</v>
      </c>
      <c r="I2150" s="246" t="s">
        <v>21</v>
      </c>
      <c r="J2150" s="46">
        <v>150000</v>
      </c>
      <c r="K2150" s="46"/>
      <c r="L2150" s="46">
        <f t="shared" si="128"/>
        <v>150000</v>
      </c>
    </row>
    <row r="2151" spans="1:12" x14ac:dyDescent="0.2">
      <c r="E2151" s="518"/>
      <c r="F2151" s="284"/>
      <c r="G2151" s="41"/>
      <c r="H2151" s="604"/>
      <c r="I2151" s="202" t="s">
        <v>742</v>
      </c>
      <c r="J2151" s="52">
        <f>SUM(J2148:J2150)</f>
        <v>3000000</v>
      </c>
      <c r="K2151" s="46"/>
      <c r="L2151" s="52">
        <f>SUM(L2148:L2150)</f>
        <v>3000000</v>
      </c>
    </row>
    <row r="2152" spans="1:12" x14ac:dyDescent="0.2">
      <c r="E2152" s="518"/>
      <c r="F2152" s="284"/>
      <c r="G2152" s="47" t="s">
        <v>37</v>
      </c>
      <c r="H2152" s="289"/>
      <c r="I2152" s="194" t="s">
        <v>38</v>
      </c>
      <c r="J2152" s="46">
        <f>SUM(J2151-J2153)</f>
        <v>100000</v>
      </c>
      <c r="K2152" s="46"/>
      <c r="L2152" s="46">
        <f>SUM(J2152:K2152)</f>
        <v>100000</v>
      </c>
    </row>
    <row r="2153" spans="1:12" x14ac:dyDescent="0.2">
      <c r="E2153" s="518"/>
      <c r="F2153" s="284"/>
      <c r="G2153" s="47" t="s">
        <v>589</v>
      </c>
      <c r="H2153" s="289"/>
      <c r="I2153" s="714" t="s">
        <v>1005</v>
      </c>
      <c r="J2153" s="46">
        <v>2900000</v>
      </c>
      <c r="K2153" s="46"/>
      <c r="L2153" s="46">
        <f>SUM(J2153:K2153)</f>
        <v>2900000</v>
      </c>
    </row>
    <row r="2154" spans="1:12" x14ac:dyDescent="0.2">
      <c r="A2154" s="600"/>
      <c r="B2154" s="601"/>
      <c r="C2154" s="601"/>
      <c r="D2154" s="602"/>
      <c r="E2154" s="563"/>
      <c r="F2154" s="284"/>
      <c r="G2154" s="41"/>
      <c r="H2154" s="289"/>
      <c r="I2154" s="282"/>
      <c r="J2154" s="355"/>
      <c r="K2154" s="355"/>
      <c r="L2154" s="356"/>
    </row>
    <row r="2155" spans="1:12" x14ac:dyDescent="0.2">
      <c r="A2155" s="593"/>
      <c r="B2155" s="594"/>
      <c r="C2155" s="594"/>
      <c r="D2155" s="595" t="s">
        <v>239</v>
      </c>
      <c r="E2155" s="554"/>
      <c r="F2155" s="736"/>
      <c r="G2155" s="596"/>
      <c r="H2155" s="629"/>
      <c r="I2155" s="724" t="s">
        <v>430</v>
      </c>
      <c r="J2155" s="725">
        <f>J2163+J2172+J2178+J2184+J2189+J2194+J2199+J2233+J2237+J2227</f>
        <v>101938829.02000001</v>
      </c>
      <c r="K2155" s="725"/>
      <c r="L2155" s="725">
        <f>L2163+L2172+L2178+L2184+L2189+L2194+L2199+L2233+L2237+L2227</f>
        <v>101938829.02000001</v>
      </c>
    </row>
    <row r="2156" spans="1:12" x14ac:dyDescent="0.2">
      <c r="A2156" s="474"/>
      <c r="B2156" s="160"/>
      <c r="C2156" s="463"/>
      <c r="D2156" s="463"/>
      <c r="E2156" s="523"/>
      <c r="F2156" s="717"/>
      <c r="G2156" s="603"/>
      <c r="H2156" s="285"/>
      <c r="I2156" s="726"/>
      <c r="J2156" s="345"/>
      <c r="K2156" s="345"/>
      <c r="L2156" s="617"/>
    </row>
    <row r="2157" spans="1:12" x14ac:dyDescent="0.2">
      <c r="A2157" s="476"/>
      <c r="B2157" s="43"/>
      <c r="C2157" s="463"/>
      <c r="D2157" s="463"/>
      <c r="E2157" s="522"/>
      <c r="F2157" s="454"/>
      <c r="G2157" s="606"/>
      <c r="H2157" s="422"/>
      <c r="I2157" s="608" t="s">
        <v>276</v>
      </c>
      <c r="J2157" s="609"/>
      <c r="K2157" s="609"/>
      <c r="L2157" s="610"/>
    </row>
    <row r="2158" spans="1:12" x14ac:dyDescent="0.2">
      <c r="A2158" s="476"/>
      <c r="B2158" s="43"/>
      <c r="C2158" s="160"/>
      <c r="D2158" s="474"/>
      <c r="E2158" s="519" t="s">
        <v>433</v>
      </c>
      <c r="F2158" s="454"/>
      <c r="G2158" s="606"/>
      <c r="H2158" s="404"/>
      <c r="I2158" s="612" t="s">
        <v>434</v>
      </c>
      <c r="J2158" s="651"/>
      <c r="K2158" s="651"/>
      <c r="L2158" s="652"/>
    </row>
    <row r="2159" spans="1:12" x14ac:dyDescent="0.2">
      <c r="A2159" s="476"/>
      <c r="B2159" s="43"/>
      <c r="D2159" s="476"/>
      <c r="E2159" s="518"/>
      <c r="F2159" s="284"/>
      <c r="G2159" s="41"/>
      <c r="H2159" s="286"/>
      <c r="I2159" s="239"/>
      <c r="J2159" s="167"/>
      <c r="K2159" s="167"/>
      <c r="L2159" s="300"/>
    </row>
    <row r="2160" spans="1:12" ht="15" x14ac:dyDescent="0.25">
      <c r="A2160" s="476"/>
      <c r="B2160" s="43"/>
      <c r="C2160" s="43">
        <v>160</v>
      </c>
      <c r="D2160" s="476"/>
      <c r="E2160" s="518"/>
      <c r="F2160" s="284"/>
      <c r="G2160" s="41"/>
      <c r="H2160" s="288"/>
      <c r="I2160" s="253" t="s">
        <v>288</v>
      </c>
      <c r="J2160" s="299"/>
      <c r="K2160" s="299"/>
      <c r="L2160" s="49"/>
    </row>
    <row r="2161" spans="1:12" ht="15" x14ac:dyDescent="0.25">
      <c r="A2161" s="476"/>
      <c r="B2161" s="43"/>
      <c r="E2161" s="518"/>
      <c r="F2161" s="284"/>
      <c r="G2161" s="41"/>
      <c r="H2161" s="288"/>
      <c r="I2161" s="26"/>
      <c r="J2161" s="27"/>
      <c r="K2161" s="27"/>
      <c r="L2161" s="53"/>
    </row>
    <row r="2162" spans="1:12" x14ac:dyDescent="0.2">
      <c r="A2162" s="476"/>
      <c r="B2162" s="43"/>
      <c r="D2162" s="476"/>
      <c r="E2162" s="518"/>
      <c r="F2162" s="284">
        <v>425</v>
      </c>
      <c r="G2162" s="41"/>
      <c r="H2162" s="285" t="s">
        <v>720</v>
      </c>
      <c r="I2162" s="243" t="s">
        <v>41</v>
      </c>
      <c r="J2162" s="963">
        <v>33027112.399999999</v>
      </c>
      <c r="K2162" s="963"/>
      <c r="L2162" s="963">
        <f>SUM(J2162+K2162)</f>
        <v>33027112.399999999</v>
      </c>
    </row>
    <row r="2163" spans="1:12" x14ac:dyDescent="0.2">
      <c r="A2163" s="476"/>
      <c r="B2163" s="43"/>
      <c r="D2163" s="476"/>
      <c r="E2163" s="518"/>
      <c r="F2163" s="284"/>
      <c r="G2163" s="41"/>
      <c r="H2163" s="286"/>
      <c r="I2163" s="102" t="s">
        <v>591</v>
      </c>
      <c r="J2163" s="971">
        <f>SUM(J2161:J2162)</f>
        <v>33027112.399999999</v>
      </c>
      <c r="K2163" s="971"/>
      <c r="L2163" s="972">
        <f t="shared" ref="L2163" si="129">SUM(L2161:L2162)</f>
        <v>33027112.399999999</v>
      </c>
    </row>
    <row r="2164" spans="1:12" x14ac:dyDescent="0.2">
      <c r="A2164" s="476"/>
      <c r="B2164" s="43"/>
      <c r="C2164" s="463"/>
      <c r="D2164" s="463"/>
      <c r="E2164" s="523"/>
      <c r="F2164" s="284"/>
      <c r="G2164" s="47" t="s">
        <v>37</v>
      </c>
      <c r="H2164" s="285"/>
      <c r="I2164" s="57" t="s">
        <v>38</v>
      </c>
      <c r="J2164" s="969">
        <f>SUM(J2163)</f>
        <v>33027112.399999999</v>
      </c>
      <c r="K2164" s="969"/>
      <c r="L2164" s="969">
        <f>SUM(J2164+K2164)</f>
        <v>33027112.399999999</v>
      </c>
    </row>
    <row r="2165" spans="1:12" x14ac:dyDescent="0.2">
      <c r="A2165" s="476"/>
      <c r="B2165" s="43"/>
      <c r="C2165" s="463"/>
      <c r="D2165" s="463"/>
      <c r="E2165" s="523"/>
      <c r="F2165" s="284"/>
      <c r="G2165" s="47"/>
      <c r="H2165" s="286"/>
      <c r="I2165" s="24"/>
      <c r="J2165" s="27"/>
      <c r="K2165" s="27"/>
      <c r="L2165" s="53"/>
    </row>
    <row r="2166" spans="1:12" x14ac:dyDescent="0.2">
      <c r="A2166" s="43"/>
      <c r="B2166" s="43"/>
      <c r="C2166" s="43">
        <v>160</v>
      </c>
      <c r="D2166" s="476"/>
      <c r="E2166" s="518"/>
      <c r="F2166" s="284"/>
      <c r="G2166" s="41"/>
      <c r="H2166" s="284"/>
      <c r="I2166" s="253" t="s">
        <v>288</v>
      </c>
      <c r="J2166" s="299"/>
      <c r="K2166" s="299"/>
      <c r="L2166" s="49"/>
    </row>
    <row r="2167" spans="1:12" x14ac:dyDescent="0.2">
      <c r="A2167" s="43"/>
      <c r="B2167" s="43"/>
      <c r="E2167" s="518"/>
      <c r="F2167" s="284"/>
      <c r="G2167" s="41"/>
      <c r="H2167" s="284"/>
      <c r="I2167" s="69"/>
      <c r="J2167" s="28"/>
      <c r="K2167" s="28"/>
      <c r="L2167" s="68"/>
    </row>
    <row r="2168" spans="1:12" x14ac:dyDescent="0.2">
      <c r="A2168" s="476"/>
      <c r="B2168" s="43"/>
      <c r="D2168" s="476"/>
      <c r="E2168" s="519"/>
      <c r="F2168" s="404"/>
      <c r="G2168" s="302"/>
      <c r="H2168" s="404"/>
      <c r="I2168" s="363" t="s">
        <v>273</v>
      </c>
      <c r="J2168" s="455"/>
      <c r="K2168" s="455"/>
      <c r="L2168" s="304"/>
    </row>
    <row r="2169" spans="1:12" ht="15" x14ac:dyDescent="0.25">
      <c r="A2169" s="476"/>
      <c r="B2169" s="43"/>
      <c r="D2169" s="476"/>
      <c r="E2169" s="519" t="s">
        <v>264</v>
      </c>
      <c r="F2169" s="404"/>
      <c r="G2169" s="302"/>
      <c r="H2169" s="434"/>
      <c r="I2169" s="365" t="s">
        <v>435</v>
      </c>
      <c r="J2169" s="366"/>
      <c r="K2169" s="366"/>
      <c r="L2169" s="369"/>
    </row>
    <row r="2170" spans="1:12" x14ac:dyDescent="0.2">
      <c r="A2170" s="476"/>
      <c r="B2170" s="43"/>
      <c r="D2170" s="476"/>
      <c r="E2170" s="518"/>
      <c r="F2170" s="284"/>
      <c r="G2170" s="41"/>
      <c r="H2170" s="285"/>
      <c r="I2170" s="26"/>
      <c r="J2170" s="162"/>
      <c r="K2170" s="28"/>
      <c r="L2170" s="68"/>
    </row>
    <row r="2171" spans="1:12" x14ac:dyDescent="0.2">
      <c r="A2171" s="476"/>
      <c r="B2171" s="43"/>
      <c r="D2171" s="476"/>
      <c r="E2171" s="518"/>
      <c r="F2171" s="284">
        <v>426</v>
      </c>
      <c r="G2171" s="41"/>
      <c r="H2171" s="285" t="s">
        <v>720</v>
      </c>
      <c r="I2171" s="243" t="s">
        <v>42</v>
      </c>
      <c r="J2171" s="51">
        <v>1800000</v>
      </c>
      <c r="K2171" s="51"/>
      <c r="L2171" s="51">
        <f>SUM(J2171+K2171)</f>
        <v>1800000</v>
      </c>
    </row>
    <row r="2172" spans="1:12" x14ac:dyDescent="0.2">
      <c r="A2172" s="476"/>
      <c r="B2172" s="43"/>
      <c r="D2172" s="476"/>
      <c r="E2172" s="518"/>
      <c r="F2172" s="284"/>
      <c r="G2172" s="41"/>
      <c r="H2172" s="292"/>
      <c r="I2172" s="102" t="s">
        <v>592</v>
      </c>
      <c r="J2172" s="299">
        <f>SUM(J2170:J2171)</f>
        <v>1800000</v>
      </c>
      <c r="K2172" s="299"/>
      <c r="L2172" s="49">
        <f t="shared" ref="L2172" si="130">SUM(L2170:L2171)</f>
        <v>1800000</v>
      </c>
    </row>
    <row r="2173" spans="1:12" x14ac:dyDescent="0.2">
      <c r="A2173" s="476"/>
      <c r="B2173" s="43"/>
      <c r="D2173" s="476"/>
      <c r="E2173" s="518"/>
      <c r="F2173" s="284"/>
      <c r="G2173" s="47" t="s">
        <v>37</v>
      </c>
      <c r="H2173" s="292"/>
      <c r="I2173" s="57" t="s">
        <v>38</v>
      </c>
      <c r="J2173" s="52">
        <f>SUM(J2172)</f>
        <v>1800000</v>
      </c>
      <c r="K2173" s="52"/>
      <c r="L2173" s="52">
        <f>SUM(J2173+K2173)</f>
        <v>1800000</v>
      </c>
    </row>
    <row r="2174" spans="1:12" x14ac:dyDescent="0.2">
      <c r="A2174" s="476"/>
      <c r="B2174" s="43"/>
      <c r="D2174" s="476"/>
      <c r="E2174" s="518"/>
      <c r="F2174" s="284"/>
      <c r="G2174" s="41"/>
      <c r="H2174" s="292"/>
      <c r="I2174" s="249"/>
      <c r="J2174" s="345"/>
      <c r="K2174" s="345"/>
      <c r="L2174" s="617"/>
    </row>
    <row r="2175" spans="1:12" ht="15" x14ac:dyDescent="0.25">
      <c r="A2175" s="476"/>
      <c r="B2175" s="43"/>
      <c r="D2175" s="476"/>
      <c r="E2175" s="518"/>
      <c r="F2175" s="284"/>
      <c r="G2175" s="41"/>
      <c r="H2175" s="290"/>
      <c r="I2175" s="17"/>
      <c r="J2175" s="167"/>
      <c r="K2175" s="167"/>
      <c r="L2175" s="300"/>
    </row>
    <row r="2176" spans="1:12" ht="22.5" x14ac:dyDescent="0.25">
      <c r="A2176" s="476"/>
      <c r="B2176" s="43"/>
      <c r="D2176" s="476"/>
      <c r="E2176" s="520" t="s">
        <v>239</v>
      </c>
      <c r="F2176" s="405"/>
      <c r="G2176" s="305"/>
      <c r="H2176" s="431"/>
      <c r="I2176" s="459" t="s">
        <v>795</v>
      </c>
      <c r="J2176" s="331"/>
      <c r="K2176" s="331"/>
      <c r="L2176" s="332"/>
    </row>
    <row r="2177" spans="1:12" x14ac:dyDescent="0.2">
      <c r="A2177" s="476"/>
      <c r="B2177" s="43"/>
      <c r="D2177" s="476"/>
      <c r="E2177" s="518"/>
      <c r="F2177" s="292">
        <v>427</v>
      </c>
      <c r="G2177" s="70"/>
      <c r="H2177" s="285" t="s">
        <v>415</v>
      </c>
      <c r="I2177" s="248" t="s">
        <v>169</v>
      </c>
      <c r="J2177" s="45">
        <v>22000000</v>
      </c>
      <c r="K2177" s="174"/>
      <c r="L2177" s="46">
        <f>SUM(J2177+K2177)</f>
        <v>22000000</v>
      </c>
    </row>
    <row r="2178" spans="1:12" x14ac:dyDescent="0.2">
      <c r="A2178" s="476"/>
      <c r="B2178" s="43"/>
      <c r="D2178" s="476"/>
      <c r="E2178" s="518"/>
      <c r="F2178" s="292"/>
      <c r="G2178" s="70"/>
      <c r="H2178" s="285"/>
      <c r="I2178" s="254" t="s">
        <v>710</v>
      </c>
      <c r="J2178" s="174">
        <f>SUM(J2177)</f>
        <v>22000000</v>
      </c>
      <c r="K2178" s="174"/>
      <c r="L2178" s="174">
        <f t="shared" ref="L2178" si="131">SUM(L2177)</f>
        <v>22000000</v>
      </c>
    </row>
    <row r="2179" spans="1:12" x14ac:dyDescent="0.2">
      <c r="B2179" s="43"/>
      <c r="D2179" s="477"/>
      <c r="E2179" s="518"/>
      <c r="F2179" s="292"/>
      <c r="G2179" s="291" t="s">
        <v>37</v>
      </c>
      <c r="H2179" s="286"/>
      <c r="I2179" s="190" t="s">
        <v>38</v>
      </c>
      <c r="J2179" s="174">
        <f>SUM(J2178)</f>
        <v>22000000</v>
      </c>
      <c r="K2179" s="174"/>
      <c r="L2179" s="174">
        <f>SUM(J2179+K2179)</f>
        <v>22000000</v>
      </c>
    </row>
    <row r="2180" spans="1:12" x14ac:dyDescent="0.2">
      <c r="B2180" s="43"/>
      <c r="D2180" s="477"/>
      <c r="E2180" s="518"/>
      <c r="F2180" s="284"/>
      <c r="G2180" s="47"/>
      <c r="H2180" s="285"/>
      <c r="I2180" s="24"/>
      <c r="J2180" s="27"/>
      <c r="K2180" s="27"/>
      <c r="L2180" s="53"/>
    </row>
    <row r="2181" spans="1:12" ht="22.5" x14ac:dyDescent="0.2">
      <c r="B2181" s="43"/>
      <c r="D2181" s="477"/>
      <c r="E2181" s="520" t="s">
        <v>239</v>
      </c>
      <c r="F2181" s="358"/>
      <c r="G2181" s="307"/>
      <c r="H2181" s="423"/>
      <c r="I2181" s="309" t="s">
        <v>794</v>
      </c>
      <c r="J2181" s="199"/>
      <c r="K2181" s="199"/>
      <c r="L2181" s="200"/>
    </row>
    <row r="2182" spans="1:12" x14ac:dyDescent="0.2">
      <c r="B2182" s="43"/>
      <c r="D2182" s="477"/>
      <c r="E2182" s="518"/>
      <c r="F2182" s="284">
        <v>428</v>
      </c>
      <c r="G2182" s="41"/>
      <c r="H2182" s="285" t="s">
        <v>270</v>
      </c>
      <c r="I2182" s="194" t="s">
        <v>20</v>
      </c>
      <c r="J2182" s="963">
        <v>1</v>
      </c>
      <c r="K2182" s="963"/>
      <c r="L2182" s="963">
        <f>SUM(J2182:K2182)</f>
        <v>1</v>
      </c>
    </row>
    <row r="2183" spans="1:12" x14ac:dyDescent="0.2">
      <c r="B2183" s="43"/>
      <c r="D2183" s="477"/>
      <c r="E2183" s="518"/>
      <c r="F2183" s="284"/>
      <c r="G2183" s="47" t="s">
        <v>37</v>
      </c>
      <c r="H2183" s="285"/>
      <c r="I2183" s="194" t="s">
        <v>38</v>
      </c>
      <c r="J2183" s="969">
        <f>SUM(J2182:J2182)</f>
        <v>1</v>
      </c>
      <c r="K2183" s="969"/>
      <c r="L2183" s="969">
        <f>SUM(J2182:K2182)</f>
        <v>1</v>
      </c>
    </row>
    <row r="2184" spans="1:12" x14ac:dyDescent="0.2">
      <c r="B2184" s="43"/>
      <c r="D2184" s="477"/>
      <c r="E2184" s="518"/>
      <c r="F2184" s="284"/>
      <c r="G2184" s="41"/>
      <c r="H2184" s="286"/>
      <c r="I2184" s="202" t="s">
        <v>710</v>
      </c>
      <c r="J2184" s="969">
        <f>SUM(J2183)</f>
        <v>1</v>
      </c>
      <c r="K2184" s="969"/>
      <c r="L2184" s="969">
        <f>SUM(L2183)</f>
        <v>1</v>
      </c>
    </row>
    <row r="2185" spans="1:12" x14ac:dyDescent="0.2">
      <c r="B2185" s="43"/>
      <c r="D2185" s="477"/>
      <c r="E2185" s="518"/>
      <c r="F2185" s="284"/>
      <c r="G2185" s="41"/>
      <c r="H2185" s="285"/>
      <c r="I2185" s="206"/>
      <c r="J2185" s="27"/>
      <c r="K2185" s="27"/>
      <c r="L2185" s="53"/>
    </row>
    <row r="2186" spans="1:12" ht="22.5" x14ac:dyDescent="0.2">
      <c r="B2186" s="43"/>
      <c r="D2186" s="477"/>
      <c r="E2186" s="520" t="s">
        <v>239</v>
      </c>
      <c r="F2186" s="358"/>
      <c r="G2186" s="307"/>
      <c r="H2186" s="360"/>
      <c r="I2186" s="309" t="s">
        <v>793</v>
      </c>
      <c r="J2186" s="199"/>
      <c r="K2186" s="199"/>
      <c r="L2186" s="200"/>
    </row>
    <row r="2187" spans="1:12" x14ac:dyDescent="0.2">
      <c r="B2187" s="43"/>
      <c r="D2187" s="477"/>
      <c r="E2187" s="518"/>
      <c r="F2187" s="284">
        <v>429</v>
      </c>
      <c r="G2187" s="41"/>
      <c r="H2187" s="285" t="s">
        <v>270</v>
      </c>
      <c r="I2187" s="194" t="s">
        <v>20</v>
      </c>
      <c r="J2187" s="51">
        <v>4740000</v>
      </c>
      <c r="K2187" s="51"/>
      <c r="L2187" s="51">
        <f>SUM(J2187:K2187)</f>
        <v>4740000</v>
      </c>
    </row>
    <row r="2188" spans="1:12" x14ac:dyDescent="0.2">
      <c r="D2188" s="43"/>
      <c r="E2188" s="518"/>
      <c r="F2188" s="284"/>
      <c r="G2188" s="47" t="s">
        <v>37</v>
      </c>
      <c r="H2188" s="285"/>
      <c r="I2188" s="194" t="s">
        <v>38</v>
      </c>
      <c r="J2188" s="51">
        <f>SUM(J2187:J2187)</f>
        <v>4740000</v>
      </c>
      <c r="K2188" s="51"/>
      <c r="L2188" s="51">
        <f>SUM(J2187:K2187)</f>
        <v>4740000</v>
      </c>
    </row>
    <row r="2189" spans="1:12" x14ac:dyDescent="0.2">
      <c r="D2189" s="43"/>
      <c r="E2189" s="523"/>
      <c r="F2189" s="284"/>
      <c r="G2189" s="41"/>
      <c r="H2189" s="285"/>
      <c r="I2189" s="202" t="s">
        <v>710</v>
      </c>
      <c r="J2189" s="52">
        <f>SUM(J2188)</f>
        <v>4740000</v>
      </c>
      <c r="K2189" s="52"/>
      <c r="L2189" s="52">
        <f>SUM(L2188)</f>
        <v>4740000</v>
      </c>
    </row>
    <row r="2190" spans="1:12" x14ac:dyDescent="0.2">
      <c r="D2190" s="43"/>
      <c r="E2190" s="518"/>
      <c r="F2190" s="284"/>
      <c r="G2190" s="41"/>
      <c r="H2190" s="285"/>
      <c r="I2190" s="17"/>
      <c r="J2190" s="71"/>
      <c r="K2190" s="71"/>
      <c r="L2190" s="233"/>
    </row>
    <row r="2191" spans="1:12" ht="22.5" x14ac:dyDescent="0.2">
      <c r="D2191" s="43"/>
      <c r="E2191" s="520" t="s">
        <v>239</v>
      </c>
      <c r="F2191" s="358"/>
      <c r="G2191" s="307"/>
      <c r="H2191" s="360"/>
      <c r="I2191" s="309" t="s">
        <v>792</v>
      </c>
      <c r="J2191" s="199"/>
      <c r="K2191" s="199"/>
      <c r="L2191" s="200"/>
    </row>
    <row r="2192" spans="1:12" x14ac:dyDescent="0.2">
      <c r="D2192" s="43"/>
      <c r="E2192" s="518"/>
      <c r="F2192" s="284">
        <v>430</v>
      </c>
      <c r="G2192" s="41"/>
      <c r="H2192" s="285" t="s">
        <v>270</v>
      </c>
      <c r="I2192" s="194" t="s">
        <v>20</v>
      </c>
      <c r="J2192" s="51">
        <v>180000</v>
      </c>
      <c r="K2192" s="51"/>
      <c r="L2192" s="51">
        <f>SUM(J2192:K2192)</f>
        <v>180000</v>
      </c>
    </row>
    <row r="2193" spans="2:12" x14ac:dyDescent="0.2">
      <c r="D2193" s="43"/>
      <c r="E2193" s="518"/>
      <c r="F2193" s="284"/>
      <c r="G2193" s="47" t="s">
        <v>37</v>
      </c>
      <c r="H2193" s="285"/>
      <c r="I2193" s="194" t="s">
        <v>38</v>
      </c>
      <c r="J2193" s="51">
        <f>SUM(J2192:J2192)</f>
        <v>180000</v>
      </c>
      <c r="K2193" s="51"/>
      <c r="L2193" s="51">
        <f>SUM(J2192:K2192)</f>
        <v>180000</v>
      </c>
    </row>
    <row r="2194" spans="2:12" x14ac:dyDescent="0.2">
      <c r="D2194" s="43"/>
      <c r="E2194" s="518"/>
      <c r="F2194" s="284"/>
      <c r="G2194" s="41"/>
      <c r="H2194" s="286"/>
      <c r="I2194" s="202" t="s">
        <v>710</v>
      </c>
      <c r="J2194" s="52">
        <f>SUM(J2193)</f>
        <v>180000</v>
      </c>
      <c r="K2194" s="52"/>
      <c r="L2194" s="52">
        <f>SUM(L2193)</f>
        <v>180000</v>
      </c>
    </row>
    <row r="2195" spans="2:12" x14ac:dyDescent="0.2">
      <c r="D2195" s="43"/>
      <c r="E2195" s="518"/>
      <c r="F2195" s="284"/>
      <c r="G2195" s="41"/>
      <c r="H2195" s="285"/>
      <c r="I2195" s="242"/>
      <c r="J2195" s="71"/>
      <c r="K2195" s="71"/>
      <c r="L2195" s="233"/>
    </row>
    <row r="2196" spans="2:12" ht="22.5" x14ac:dyDescent="0.2">
      <c r="D2196" s="43"/>
      <c r="E2196" s="520" t="s">
        <v>239</v>
      </c>
      <c r="F2196" s="358"/>
      <c r="G2196" s="307"/>
      <c r="H2196" s="360"/>
      <c r="I2196" s="309" t="s">
        <v>791</v>
      </c>
      <c r="J2196" s="199"/>
      <c r="K2196" s="199"/>
      <c r="L2196" s="200"/>
    </row>
    <row r="2197" spans="2:12" x14ac:dyDescent="0.2">
      <c r="D2197" s="43"/>
      <c r="E2197" s="518"/>
      <c r="F2197" s="284">
        <v>431</v>
      </c>
      <c r="G2197" s="41"/>
      <c r="H2197" s="285" t="s">
        <v>270</v>
      </c>
      <c r="I2197" s="194" t="s">
        <v>20</v>
      </c>
      <c r="J2197" s="51">
        <v>300000</v>
      </c>
      <c r="K2197" s="51"/>
      <c r="L2197" s="51">
        <f>SUM(J2197:K2197)</f>
        <v>300000</v>
      </c>
    </row>
    <row r="2198" spans="2:12" x14ac:dyDescent="0.2">
      <c r="D2198" s="43"/>
      <c r="E2198" s="518"/>
      <c r="F2198" s="284"/>
      <c r="G2198" s="47" t="s">
        <v>37</v>
      </c>
      <c r="H2198" s="285"/>
      <c r="I2198" s="194" t="s">
        <v>38</v>
      </c>
      <c r="J2198" s="51">
        <f>SUM(J2197:J2197)</f>
        <v>300000</v>
      </c>
      <c r="K2198" s="51"/>
      <c r="L2198" s="51">
        <f>SUM(J2197:K2197)</f>
        <v>300000</v>
      </c>
    </row>
    <row r="2199" spans="2:12" x14ac:dyDescent="0.2">
      <c r="D2199" s="43"/>
      <c r="E2199" s="518"/>
      <c r="F2199" s="284"/>
      <c r="G2199" s="41"/>
      <c r="H2199" s="285"/>
      <c r="I2199" s="202" t="s">
        <v>710</v>
      </c>
      <c r="J2199" s="52">
        <f>SUM(J2198)</f>
        <v>300000</v>
      </c>
      <c r="K2199" s="52"/>
      <c r="L2199" s="52">
        <f>SUM(L2198)</f>
        <v>300000</v>
      </c>
    </row>
    <row r="2200" spans="2:12" ht="15" customHeight="1" x14ac:dyDescent="0.2">
      <c r="D2200" s="43"/>
      <c r="E2200" s="518"/>
      <c r="F2200" s="284"/>
      <c r="G2200" s="41"/>
      <c r="H2200" s="285"/>
      <c r="I2200" s="242"/>
      <c r="J2200" s="71"/>
      <c r="K2200" s="71"/>
      <c r="L2200" s="233"/>
    </row>
    <row r="2201" spans="2:12" x14ac:dyDescent="0.2">
      <c r="B2201" s="43"/>
      <c r="D2201" s="43"/>
      <c r="E2201" s="519"/>
      <c r="F2201" s="404"/>
      <c r="G2201" s="302"/>
      <c r="H2201" s="422"/>
      <c r="I2201" s="363" t="s">
        <v>237</v>
      </c>
      <c r="J2201" s="455"/>
      <c r="K2201" s="455"/>
      <c r="L2201" s="304"/>
    </row>
    <row r="2202" spans="2:12" x14ac:dyDescent="0.2">
      <c r="B2202" s="43"/>
      <c r="D2202" s="43"/>
      <c r="E2202" s="519" t="s">
        <v>268</v>
      </c>
      <c r="F2202" s="404"/>
      <c r="G2202" s="302"/>
      <c r="H2202" s="422"/>
      <c r="I2202" s="365" t="s">
        <v>443</v>
      </c>
      <c r="J2202" s="447"/>
      <c r="K2202" s="447"/>
      <c r="L2202" s="367"/>
    </row>
    <row r="2203" spans="2:12" x14ac:dyDescent="0.2">
      <c r="B2203" s="633"/>
      <c r="D2203" s="43"/>
      <c r="E2203" s="518"/>
      <c r="F2203" s="284"/>
      <c r="G2203" s="41"/>
      <c r="H2203" s="286"/>
      <c r="I2203" s="24"/>
      <c r="J2203" s="28"/>
      <c r="K2203" s="28"/>
      <c r="L2203" s="68"/>
    </row>
    <row r="2204" spans="2:12" ht="22.5" x14ac:dyDescent="0.25">
      <c r="B2204" s="633"/>
      <c r="C2204" s="43">
        <v>160</v>
      </c>
      <c r="D2204" s="43"/>
      <c r="E2204" s="518"/>
      <c r="F2204" s="284"/>
      <c r="G2204" s="41"/>
      <c r="H2204" s="288"/>
      <c r="I2204" s="727" t="s">
        <v>292</v>
      </c>
      <c r="J2204" s="67"/>
      <c r="K2204" s="67"/>
      <c r="L2204" s="192"/>
    </row>
    <row r="2205" spans="2:12" ht="15" x14ac:dyDescent="0.25">
      <c r="D2205" s="43"/>
      <c r="E2205" s="518"/>
      <c r="F2205" s="284"/>
      <c r="G2205" s="41"/>
      <c r="H2205" s="288"/>
      <c r="I2205" s="206"/>
      <c r="J2205" s="28"/>
      <c r="K2205" s="28"/>
      <c r="L2205" s="68"/>
    </row>
    <row r="2206" spans="2:12" ht="15" x14ac:dyDescent="0.25">
      <c r="B2206" s="44">
        <v>1</v>
      </c>
      <c r="D2206" s="43"/>
      <c r="E2206" s="518"/>
      <c r="F2206" s="284"/>
      <c r="G2206" s="41"/>
      <c r="H2206" s="288"/>
      <c r="I2206" s="260" t="s">
        <v>53</v>
      </c>
      <c r="J2206" s="67"/>
      <c r="K2206" s="67"/>
      <c r="L2206" s="192"/>
    </row>
    <row r="2207" spans="2:12" ht="15" x14ac:dyDescent="0.25">
      <c r="D2207" s="43"/>
      <c r="E2207" s="518"/>
      <c r="F2207" s="284"/>
      <c r="G2207" s="41"/>
      <c r="H2207" s="288"/>
      <c r="I2207" s="206"/>
      <c r="J2207" s="223"/>
      <c r="K2207" s="223"/>
      <c r="L2207" s="224"/>
    </row>
    <row r="2208" spans="2:12" x14ac:dyDescent="0.2">
      <c r="D2208" s="43"/>
      <c r="E2208" s="518"/>
      <c r="F2208" s="284">
        <v>432</v>
      </c>
      <c r="G2208" s="41"/>
      <c r="H2208" s="284">
        <v>411</v>
      </c>
      <c r="I2208" s="194" t="s">
        <v>2</v>
      </c>
      <c r="J2208" s="51">
        <v>3945292.62</v>
      </c>
      <c r="K2208" s="51"/>
      <c r="L2208" s="51">
        <f>SUM(J2208:K2208)</f>
        <v>3945292.62</v>
      </c>
    </row>
    <row r="2209" spans="4:12" x14ac:dyDescent="0.2">
      <c r="D2209" s="43"/>
      <c r="E2209" s="518"/>
      <c r="F2209" s="284">
        <v>433</v>
      </c>
      <c r="G2209" s="41"/>
      <c r="H2209" s="284">
        <v>412</v>
      </c>
      <c r="I2209" s="243" t="s">
        <v>3</v>
      </c>
      <c r="J2209" s="51">
        <v>677000</v>
      </c>
      <c r="K2209" s="51"/>
      <c r="L2209" s="51">
        <f t="shared" ref="L2209:L2226" si="132">SUM(J2209:K2209)</f>
        <v>677000</v>
      </c>
    </row>
    <row r="2210" spans="4:12" x14ac:dyDescent="0.2">
      <c r="D2210" s="43"/>
      <c r="E2210" s="518"/>
      <c r="F2210" s="284">
        <v>434</v>
      </c>
      <c r="G2210" s="41"/>
      <c r="H2210" s="284">
        <v>414</v>
      </c>
      <c r="I2210" s="243" t="s">
        <v>34</v>
      </c>
      <c r="J2210" s="51">
        <v>686200</v>
      </c>
      <c r="K2210" s="51"/>
      <c r="L2210" s="51">
        <f t="shared" si="132"/>
        <v>686200</v>
      </c>
    </row>
    <row r="2211" spans="4:12" x14ac:dyDescent="0.2">
      <c r="D2211" s="43"/>
      <c r="E2211" s="518"/>
      <c r="F2211" s="284">
        <v>435</v>
      </c>
      <c r="G2211" s="41"/>
      <c r="H2211" s="284">
        <v>415</v>
      </c>
      <c r="I2211" s="243" t="s">
        <v>5</v>
      </c>
      <c r="J2211" s="51">
        <f>119400+25000</f>
        <v>144400</v>
      </c>
      <c r="K2211" s="51"/>
      <c r="L2211" s="51">
        <f t="shared" si="132"/>
        <v>144400</v>
      </c>
    </row>
    <row r="2212" spans="4:12" x14ac:dyDescent="0.2">
      <c r="D2212" s="43"/>
      <c r="E2212" s="518"/>
      <c r="F2212" s="959" t="s">
        <v>1074</v>
      </c>
      <c r="G2212" s="960"/>
      <c r="H2212" s="959">
        <v>416</v>
      </c>
      <c r="I2212" s="977" t="s">
        <v>6</v>
      </c>
      <c r="J2212" s="963">
        <v>200000</v>
      </c>
      <c r="K2212" s="963"/>
      <c r="L2212" s="963">
        <f t="shared" si="132"/>
        <v>200000</v>
      </c>
    </row>
    <row r="2213" spans="4:12" x14ac:dyDescent="0.2">
      <c r="D2213" s="43"/>
      <c r="E2213" s="518"/>
      <c r="F2213" s="284">
        <v>436</v>
      </c>
      <c r="G2213" s="41"/>
      <c r="H2213" s="284">
        <v>421</v>
      </c>
      <c r="I2213" s="243" t="s">
        <v>7</v>
      </c>
      <c r="J2213" s="51">
        <v>4218740</v>
      </c>
      <c r="K2213" s="51"/>
      <c r="L2213" s="51">
        <f t="shared" si="132"/>
        <v>4218740</v>
      </c>
    </row>
    <row r="2214" spans="4:12" x14ac:dyDescent="0.2">
      <c r="D2214" s="43"/>
      <c r="E2214" s="518"/>
      <c r="F2214" s="284">
        <v>437</v>
      </c>
      <c r="G2214" s="41"/>
      <c r="H2214" s="284">
        <v>422</v>
      </c>
      <c r="I2214" s="194" t="s">
        <v>8</v>
      </c>
      <c r="J2214" s="51">
        <v>444000</v>
      </c>
      <c r="K2214" s="51"/>
      <c r="L2214" s="51">
        <f t="shared" si="132"/>
        <v>444000</v>
      </c>
    </row>
    <row r="2215" spans="4:12" x14ac:dyDescent="0.2">
      <c r="D2215" s="43"/>
      <c r="E2215" s="518"/>
      <c r="F2215" s="284">
        <v>438</v>
      </c>
      <c r="G2215" s="41"/>
      <c r="H2215" s="284">
        <v>423</v>
      </c>
      <c r="I2215" s="194" t="s">
        <v>9</v>
      </c>
      <c r="J2215" s="51">
        <f>8603200-300000</f>
        <v>8303200</v>
      </c>
      <c r="K2215" s="51"/>
      <c r="L2215" s="51">
        <f t="shared" si="132"/>
        <v>8303200</v>
      </c>
    </row>
    <row r="2216" spans="4:12" x14ac:dyDescent="0.2">
      <c r="D2216" s="43"/>
      <c r="E2216" s="518"/>
      <c r="F2216" s="284">
        <v>439</v>
      </c>
      <c r="G2216" s="41"/>
      <c r="H2216" s="284">
        <v>424</v>
      </c>
      <c r="I2216" s="194" t="s">
        <v>10</v>
      </c>
      <c r="J2216" s="963">
        <f>765500+7000</f>
        <v>772500</v>
      </c>
      <c r="K2216" s="963"/>
      <c r="L2216" s="963">
        <f t="shared" si="132"/>
        <v>772500</v>
      </c>
    </row>
    <row r="2217" spans="4:12" x14ac:dyDescent="0.2">
      <c r="D2217" s="43"/>
      <c r="E2217" s="518"/>
      <c r="F2217" s="284">
        <v>440</v>
      </c>
      <c r="G2217" s="41"/>
      <c r="H2217" s="284">
        <v>425</v>
      </c>
      <c r="I2217" s="194" t="s">
        <v>11</v>
      </c>
      <c r="J2217" s="963">
        <f>7982233+250000-7000</f>
        <v>8225233</v>
      </c>
      <c r="K2217" s="963"/>
      <c r="L2217" s="963">
        <f t="shared" si="132"/>
        <v>8225233</v>
      </c>
    </row>
    <row r="2218" spans="4:12" x14ac:dyDescent="0.2">
      <c r="D2218" s="43"/>
      <c r="E2218" s="518"/>
      <c r="F2218" s="284">
        <v>441</v>
      </c>
      <c r="G2218" s="41"/>
      <c r="H2218" s="284">
        <v>426</v>
      </c>
      <c r="I2218" s="194" t="s">
        <v>35</v>
      </c>
      <c r="J2218" s="51">
        <v>2005000</v>
      </c>
      <c r="K2218" s="51"/>
      <c r="L2218" s="51">
        <f t="shared" si="132"/>
        <v>2005000</v>
      </c>
    </row>
    <row r="2219" spans="4:12" x14ac:dyDescent="0.2">
      <c r="D2219" s="43"/>
      <c r="E2219" s="518"/>
      <c r="F2219" s="284">
        <v>442</v>
      </c>
      <c r="G2219" s="41"/>
      <c r="H2219" s="284">
        <v>441</v>
      </c>
      <c r="I2219" s="194" t="s">
        <v>13</v>
      </c>
      <c r="J2219" s="51">
        <v>20000</v>
      </c>
      <c r="K2219" s="51"/>
      <c r="L2219" s="51">
        <f t="shared" si="132"/>
        <v>20000</v>
      </c>
    </row>
    <row r="2220" spans="4:12" x14ac:dyDescent="0.2">
      <c r="D2220" s="43"/>
      <c r="E2220" s="518"/>
      <c r="F2220" s="284">
        <v>443</v>
      </c>
      <c r="G2220" s="41"/>
      <c r="H2220" s="284">
        <v>444</v>
      </c>
      <c r="I2220" s="194" t="s">
        <v>14</v>
      </c>
      <c r="J2220" s="51">
        <v>40000</v>
      </c>
      <c r="K2220" s="51"/>
      <c r="L2220" s="51">
        <f t="shared" si="132"/>
        <v>40000</v>
      </c>
    </row>
    <row r="2221" spans="4:12" x14ac:dyDescent="0.2">
      <c r="D2221" s="43"/>
      <c r="E2221" s="518"/>
      <c r="F2221" s="284">
        <v>444</v>
      </c>
      <c r="G2221" s="41"/>
      <c r="H2221" s="284">
        <v>465</v>
      </c>
      <c r="I2221" s="194" t="s">
        <v>167</v>
      </c>
      <c r="J2221" s="51">
        <v>465150</v>
      </c>
      <c r="K2221" s="51"/>
      <c r="L2221" s="51">
        <f t="shared" si="132"/>
        <v>465150</v>
      </c>
    </row>
    <row r="2222" spans="4:12" x14ac:dyDescent="0.2">
      <c r="D2222" s="43"/>
      <c r="E2222" s="518"/>
      <c r="F2222" s="284">
        <v>445</v>
      </c>
      <c r="G2222" s="41"/>
      <c r="H2222" s="284">
        <v>482</v>
      </c>
      <c r="I2222" s="194" t="s">
        <v>54</v>
      </c>
      <c r="J2222" s="51">
        <v>333000</v>
      </c>
      <c r="K2222" s="51"/>
      <c r="L2222" s="51">
        <f t="shared" si="132"/>
        <v>333000</v>
      </c>
    </row>
    <row r="2223" spans="4:12" x14ac:dyDescent="0.2">
      <c r="D2223" s="43"/>
      <c r="E2223" s="518"/>
      <c r="F2223" s="284">
        <v>446</v>
      </c>
      <c r="G2223" s="41"/>
      <c r="H2223" s="284">
        <v>483</v>
      </c>
      <c r="I2223" s="243" t="s">
        <v>18</v>
      </c>
      <c r="J2223" s="51">
        <v>93000</v>
      </c>
      <c r="K2223" s="51"/>
      <c r="L2223" s="51">
        <f t="shared" si="132"/>
        <v>93000</v>
      </c>
    </row>
    <row r="2224" spans="4:12" x14ac:dyDescent="0.2">
      <c r="D2224" s="43"/>
      <c r="E2224" s="518"/>
      <c r="F2224" s="284">
        <v>447</v>
      </c>
      <c r="G2224" s="41"/>
      <c r="H2224" s="284">
        <v>511</v>
      </c>
      <c r="I2224" s="194" t="s">
        <v>20</v>
      </c>
      <c r="J2224" s="51">
        <v>160000</v>
      </c>
      <c r="K2224" s="51"/>
      <c r="L2224" s="51">
        <f t="shared" si="132"/>
        <v>160000</v>
      </c>
    </row>
    <row r="2225" spans="1:12" x14ac:dyDescent="0.2">
      <c r="D2225" s="43"/>
      <c r="E2225" s="518"/>
      <c r="F2225" s="284">
        <v>448</v>
      </c>
      <c r="G2225" s="41"/>
      <c r="H2225" s="284">
        <v>512</v>
      </c>
      <c r="I2225" s="194" t="s">
        <v>51</v>
      </c>
      <c r="J2225" s="51">
        <v>2159000</v>
      </c>
      <c r="K2225" s="51"/>
      <c r="L2225" s="51">
        <f t="shared" si="132"/>
        <v>2159000</v>
      </c>
    </row>
    <row r="2226" spans="1:12" x14ac:dyDescent="0.2">
      <c r="D2226" s="43"/>
      <c r="E2226" s="518"/>
      <c r="F2226" s="284"/>
      <c r="G2226" s="47" t="s">
        <v>37</v>
      </c>
      <c r="H2226" s="410"/>
      <c r="I2226" s="194" t="s">
        <v>38</v>
      </c>
      <c r="J2226" s="51">
        <f>SUM(J2227)</f>
        <v>32891715.620000001</v>
      </c>
      <c r="K2226" s="51"/>
      <c r="L2226" s="51">
        <f t="shared" si="132"/>
        <v>32891715.620000001</v>
      </c>
    </row>
    <row r="2227" spans="1:12" x14ac:dyDescent="0.2">
      <c r="D2227" s="43"/>
      <c r="E2227" s="518"/>
      <c r="F2227" s="284"/>
      <c r="G2227" s="41"/>
      <c r="H2227" s="410"/>
      <c r="I2227" s="202" t="s">
        <v>601</v>
      </c>
      <c r="J2227" s="52">
        <f>SUM(J2208:J2225)</f>
        <v>32891715.620000001</v>
      </c>
      <c r="K2227" s="52"/>
      <c r="L2227" s="52">
        <f>SUM(J2226:K2226)</f>
        <v>32891715.620000001</v>
      </c>
    </row>
    <row r="2228" spans="1:12" x14ac:dyDescent="0.2">
      <c r="D2228" s="43"/>
      <c r="E2228" s="518"/>
      <c r="F2228" s="284"/>
      <c r="G2228" s="41"/>
      <c r="H2228" s="286"/>
      <c r="I2228" s="69"/>
      <c r="J2228" s="28"/>
      <c r="K2228" s="28"/>
      <c r="L2228" s="68"/>
    </row>
    <row r="2229" spans="1:12" x14ac:dyDescent="0.2">
      <c r="C2229" s="43">
        <v>620</v>
      </c>
      <c r="D2229" s="43"/>
      <c r="E2229" s="520"/>
      <c r="F2229" s="738"/>
      <c r="G2229" s="307"/>
      <c r="H2229" s="358"/>
      <c r="I2229" s="312" t="s">
        <v>790</v>
      </c>
      <c r="J2229" s="71"/>
      <c r="K2229" s="71"/>
      <c r="L2229" s="233"/>
    </row>
    <row r="2230" spans="1:12" x14ac:dyDescent="0.2">
      <c r="D2230" s="43"/>
      <c r="E2230" s="518"/>
      <c r="F2230" s="410">
        <v>449</v>
      </c>
      <c r="G2230" s="207"/>
      <c r="H2230" s="284">
        <v>511</v>
      </c>
      <c r="I2230" s="250" t="s">
        <v>20</v>
      </c>
      <c r="J2230" s="56">
        <v>2000000</v>
      </c>
      <c r="K2230" s="52"/>
      <c r="L2230" s="51">
        <f>SUM(J2230:K2230)</f>
        <v>2000000</v>
      </c>
    </row>
    <row r="2231" spans="1:12" x14ac:dyDescent="0.2">
      <c r="D2231" s="43"/>
      <c r="E2231" s="518"/>
      <c r="F2231" s="410">
        <v>450</v>
      </c>
      <c r="G2231" s="207"/>
      <c r="H2231" s="284">
        <v>512</v>
      </c>
      <c r="I2231" s="194" t="s">
        <v>51</v>
      </c>
      <c r="J2231" s="56">
        <v>2000000</v>
      </c>
      <c r="K2231" s="52"/>
      <c r="L2231" s="51">
        <f t="shared" ref="L2231:L2233" si="133">SUM(J2231:K2231)</f>
        <v>2000000</v>
      </c>
    </row>
    <row r="2232" spans="1:12" x14ac:dyDescent="0.2">
      <c r="D2232" s="43"/>
      <c r="E2232" s="518"/>
      <c r="F2232" s="284"/>
      <c r="G2232" s="230" t="s">
        <v>37</v>
      </c>
      <c r="H2232" s="410"/>
      <c r="I2232" s="194" t="s">
        <v>38</v>
      </c>
      <c r="J2232" s="56">
        <f>SUM(J2230:J2231)</f>
        <v>4000000</v>
      </c>
      <c r="K2232" s="52"/>
      <c r="L2232" s="51">
        <f t="shared" si="133"/>
        <v>4000000</v>
      </c>
    </row>
    <row r="2233" spans="1:12" x14ac:dyDescent="0.2">
      <c r="D2233" s="43"/>
      <c r="E2233" s="518"/>
      <c r="F2233" s="284"/>
      <c r="G2233" s="41"/>
      <c r="H2233" s="284"/>
      <c r="I2233" s="208" t="s">
        <v>710</v>
      </c>
      <c r="J2233" s="52">
        <f>SUM(J2230:J2231)</f>
        <v>4000000</v>
      </c>
      <c r="K2233" s="52"/>
      <c r="L2233" s="52">
        <f t="shared" si="133"/>
        <v>4000000</v>
      </c>
    </row>
    <row r="2234" spans="1:12" x14ac:dyDescent="0.2">
      <c r="D2234" s="43"/>
      <c r="E2234" s="518"/>
      <c r="F2234" s="284"/>
      <c r="G2234" s="41"/>
      <c r="H2234" s="286"/>
      <c r="I2234" s="728"/>
      <c r="J2234" s="52"/>
      <c r="K2234" s="52"/>
      <c r="L2234" s="52"/>
    </row>
    <row r="2235" spans="1:12" x14ac:dyDescent="0.2">
      <c r="C2235" s="43">
        <v>620</v>
      </c>
      <c r="D2235" s="43"/>
      <c r="E2235" s="520"/>
      <c r="F2235" s="358"/>
      <c r="G2235" s="307"/>
      <c r="H2235" s="423"/>
      <c r="I2235" s="312" t="s">
        <v>789</v>
      </c>
      <c r="J2235" s="52"/>
      <c r="K2235" s="52"/>
      <c r="L2235" s="52"/>
    </row>
    <row r="2236" spans="1:12" x14ac:dyDescent="0.2">
      <c r="D2236" s="43"/>
      <c r="E2236" s="518"/>
      <c r="F2236" s="284">
        <v>451</v>
      </c>
      <c r="G2236" s="41"/>
      <c r="H2236" s="284">
        <v>511</v>
      </c>
      <c r="I2236" s="250" t="s">
        <v>20</v>
      </c>
      <c r="J2236" s="963">
        <v>3000000</v>
      </c>
      <c r="K2236" s="52"/>
      <c r="L2236" s="51">
        <f>SUM(J2236:K2236)</f>
        <v>3000000</v>
      </c>
    </row>
    <row r="2237" spans="1:12" x14ac:dyDescent="0.2">
      <c r="D2237" s="43"/>
      <c r="E2237" s="518"/>
      <c r="F2237" s="284"/>
      <c r="G2237" s="41"/>
      <c r="H2237" s="286"/>
      <c r="I2237" s="208" t="s">
        <v>710</v>
      </c>
      <c r="J2237" s="52">
        <f>SUM(J2236)</f>
        <v>3000000</v>
      </c>
      <c r="K2237" s="52"/>
      <c r="L2237" s="52">
        <f>SUM(J2236:K2236)</f>
        <v>3000000</v>
      </c>
    </row>
    <row r="2238" spans="1:12" ht="15" x14ac:dyDescent="0.25">
      <c r="D2238" s="43"/>
      <c r="E2238" s="518"/>
      <c r="F2238" s="284"/>
      <c r="G2238" s="47" t="s">
        <v>37</v>
      </c>
      <c r="H2238" s="288"/>
      <c r="I2238" s="194" t="s">
        <v>38</v>
      </c>
      <c r="J2238" s="51">
        <f>SUM(J2237)</f>
        <v>3000000</v>
      </c>
      <c r="K2238" s="51"/>
      <c r="L2238" s="51">
        <f>SUM(J2238+K2238)</f>
        <v>3000000</v>
      </c>
    </row>
    <row r="2239" spans="1:12" ht="15" x14ac:dyDescent="0.2">
      <c r="A2239" s="476"/>
      <c r="B2239" s="43"/>
      <c r="C2239" s="403"/>
      <c r="D2239" s="633"/>
      <c r="E2239" s="518"/>
      <c r="F2239" s="284"/>
      <c r="G2239" s="47"/>
      <c r="H2239" s="285"/>
      <c r="I2239" s="191"/>
      <c r="J2239" s="28"/>
      <c r="K2239" s="28"/>
      <c r="L2239" s="68"/>
    </row>
    <row r="2240" spans="1:12" x14ac:dyDescent="0.2">
      <c r="E2240" s="518"/>
      <c r="F2240" s="284"/>
      <c r="G2240" s="47"/>
      <c r="H2240" s="285"/>
      <c r="I2240" s="781" t="s">
        <v>731</v>
      </c>
      <c r="J2240" s="783">
        <f>SUM(J2237+J2233+J2227)</f>
        <v>39891715.620000005</v>
      </c>
      <c r="K2240" s="783"/>
      <c r="L2240" s="783">
        <f t="shared" ref="L2240" si="134">SUM(L2237+L2233+L2227)</f>
        <v>39891715.620000005</v>
      </c>
    </row>
    <row r="2241" spans="1:16" ht="15" x14ac:dyDescent="0.2">
      <c r="A2241" s="476"/>
      <c r="B2241" s="43"/>
      <c r="C2241" s="403"/>
      <c r="D2241" s="633"/>
      <c r="E2241" s="518"/>
      <c r="F2241" s="284"/>
      <c r="G2241" s="47"/>
      <c r="H2241" s="285"/>
      <c r="I2241" s="191"/>
      <c r="J2241" s="28"/>
      <c r="K2241" s="28"/>
      <c r="L2241" s="68"/>
    </row>
    <row r="2242" spans="1:16" ht="22.5" x14ac:dyDescent="0.2">
      <c r="A2242" s="626"/>
      <c r="B2242" s="627"/>
      <c r="C2242" s="729"/>
      <c r="D2242" s="553" t="s">
        <v>557</v>
      </c>
      <c r="E2242" s="554"/>
      <c r="F2242" s="638"/>
      <c r="G2242" s="628"/>
      <c r="H2242" s="629"/>
      <c r="I2242" s="664" t="s">
        <v>627</v>
      </c>
      <c r="J2242" s="599">
        <f>SUM(J2251+J2260+J2269+J2274+J2280+J2286+J2292+J2298+J2308+J2313+J2318+J2323+J2303)</f>
        <v>107867107</v>
      </c>
      <c r="K2242" s="599"/>
      <c r="L2242" s="599">
        <f>SUM(L2251+L2260+L2269+L2274+L2280+L2286+L2292+L2298+L2308+L2313+L2318+L2323+L2303)</f>
        <v>107867107</v>
      </c>
    </row>
    <row r="2243" spans="1:16" ht="15" x14ac:dyDescent="0.2">
      <c r="A2243" s="476"/>
      <c r="B2243" s="43"/>
      <c r="C2243" s="403"/>
      <c r="D2243" s="633"/>
      <c r="E2243" s="518"/>
      <c r="F2243" s="284"/>
      <c r="G2243" s="41"/>
      <c r="H2243" s="285"/>
      <c r="I2243" s="166"/>
      <c r="J2243" s="166"/>
      <c r="K2243" s="166"/>
      <c r="L2243" s="166"/>
    </row>
    <row r="2244" spans="1:16" ht="15" x14ac:dyDescent="0.25">
      <c r="A2244" s="476"/>
      <c r="B2244" s="43"/>
      <c r="C2244" s="463"/>
      <c r="D2244" s="633"/>
      <c r="E2244" s="522"/>
      <c r="F2244" s="404"/>
      <c r="G2244" s="302"/>
      <c r="H2244" s="434"/>
      <c r="I2244" s="363" t="s">
        <v>272</v>
      </c>
      <c r="J2244" s="455"/>
      <c r="K2244" s="455"/>
      <c r="L2244" s="304"/>
    </row>
    <row r="2245" spans="1:16" ht="22.5" x14ac:dyDescent="0.25">
      <c r="A2245" s="476"/>
      <c r="B2245" s="43"/>
      <c r="C2245" s="403"/>
      <c r="D2245" s="633"/>
      <c r="E2245" s="519" t="s">
        <v>701</v>
      </c>
      <c r="F2245" s="404"/>
      <c r="G2245" s="302"/>
      <c r="H2245" s="434"/>
      <c r="I2245" s="660" t="s">
        <v>702</v>
      </c>
      <c r="J2245" s="366"/>
      <c r="K2245" s="366"/>
      <c r="L2245" s="369"/>
    </row>
    <row r="2246" spans="1:16" ht="15" x14ac:dyDescent="0.25">
      <c r="A2246" s="476"/>
      <c r="B2246" s="43"/>
      <c r="C2246" s="403"/>
      <c r="D2246" s="633"/>
      <c r="E2246" s="518"/>
      <c r="F2246" s="284"/>
      <c r="G2246" s="41"/>
      <c r="H2246" s="288"/>
      <c r="I2246" s="222"/>
      <c r="J2246" s="167"/>
      <c r="K2246" s="167"/>
      <c r="L2246" s="300"/>
    </row>
    <row r="2247" spans="1:16" ht="15" x14ac:dyDescent="0.2">
      <c r="A2247" s="476"/>
      <c r="B2247" s="43"/>
      <c r="C2247" s="403">
        <v>640</v>
      </c>
      <c r="D2247" s="633"/>
      <c r="E2247" s="518"/>
      <c r="F2247" s="284"/>
      <c r="G2247" s="41"/>
      <c r="H2247" s="285"/>
      <c r="I2247" s="252" t="s">
        <v>632</v>
      </c>
      <c r="J2247" s="174"/>
      <c r="K2247" s="174"/>
      <c r="L2247" s="174"/>
    </row>
    <row r="2248" spans="1:16" ht="15" x14ac:dyDescent="0.2">
      <c r="A2248" s="476"/>
      <c r="B2248" s="43"/>
      <c r="C2248" s="403"/>
      <c r="D2248" s="633"/>
      <c r="E2248" s="518"/>
      <c r="F2248" s="284">
        <v>452</v>
      </c>
      <c r="G2248" s="41"/>
      <c r="H2248" s="285" t="s">
        <v>588</v>
      </c>
      <c r="I2248" s="281" t="s">
        <v>7</v>
      </c>
      <c r="J2248" s="51">
        <v>70400000</v>
      </c>
      <c r="K2248" s="51"/>
      <c r="L2248" s="51">
        <f>SUM(J2248:K2248)</f>
        <v>70400000</v>
      </c>
      <c r="M2248" s="991"/>
    </row>
    <row r="2249" spans="1:16" ht="15" x14ac:dyDescent="0.2">
      <c r="A2249" s="476"/>
      <c r="B2249" s="43"/>
      <c r="C2249" s="403"/>
      <c r="D2249" s="633"/>
      <c r="E2249" s="518"/>
      <c r="F2249" s="284">
        <v>453</v>
      </c>
      <c r="G2249" s="41"/>
      <c r="H2249" s="285" t="s">
        <v>46</v>
      </c>
      <c r="I2249" s="209" t="s">
        <v>10</v>
      </c>
      <c r="J2249" s="51">
        <v>1000000</v>
      </c>
      <c r="K2249" s="174"/>
      <c r="L2249" s="51">
        <f t="shared" ref="L2249:L2252" si="135">SUM(J2249:K2249)</f>
        <v>1000000</v>
      </c>
    </row>
    <row r="2250" spans="1:16" s="166" customFormat="1" x14ac:dyDescent="0.2">
      <c r="A2250" s="476"/>
      <c r="B2250" s="43"/>
      <c r="C2250" s="43"/>
      <c r="D2250" s="43"/>
      <c r="E2250" s="518"/>
      <c r="F2250" s="284">
        <v>454</v>
      </c>
      <c r="G2250" s="41"/>
      <c r="H2250" s="285" t="s">
        <v>271</v>
      </c>
      <c r="I2250" s="209" t="s">
        <v>22</v>
      </c>
      <c r="J2250" s="51">
        <v>2500000</v>
      </c>
      <c r="K2250" s="174"/>
      <c r="L2250" s="51">
        <f t="shared" si="135"/>
        <v>2500000</v>
      </c>
      <c r="M2250" s="1020"/>
      <c r="N2250" s="175"/>
      <c r="O2250" s="143"/>
      <c r="P2250" s="143"/>
    </row>
    <row r="2251" spans="1:16" s="166" customFormat="1" ht="15" x14ac:dyDescent="0.25">
      <c r="A2251" s="476"/>
      <c r="B2251" s="43"/>
      <c r="C2251" s="473"/>
      <c r="D2251" s="476"/>
      <c r="E2251" s="525"/>
      <c r="F2251" s="284"/>
      <c r="G2251" s="41"/>
      <c r="H2251" s="298"/>
      <c r="I2251" s="282" t="s">
        <v>703</v>
      </c>
      <c r="J2251" s="174">
        <f>SUM(J2248:J2250)</f>
        <v>73900000</v>
      </c>
      <c r="K2251" s="174"/>
      <c r="L2251" s="51">
        <f t="shared" si="135"/>
        <v>73900000</v>
      </c>
      <c r="M2251" s="1020"/>
      <c r="N2251" s="175"/>
      <c r="O2251" s="143"/>
      <c r="P2251" s="143"/>
    </row>
    <row r="2252" spans="1:16" s="166" customFormat="1" ht="15" x14ac:dyDescent="0.25">
      <c r="A2252" s="476"/>
      <c r="B2252" s="43"/>
      <c r="C2252" s="403"/>
      <c r="D2252" s="476"/>
      <c r="E2252" s="518"/>
      <c r="F2252" s="284"/>
      <c r="G2252" s="47" t="s">
        <v>37</v>
      </c>
      <c r="H2252" s="298"/>
      <c r="I2252" s="209" t="s">
        <v>38</v>
      </c>
      <c r="J2252" s="174">
        <f>SUM(J2251)</f>
        <v>73900000</v>
      </c>
      <c r="K2252" s="174"/>
      <c r="L2252" s="52">
        <f t="shared" si="135"/>
        <v>73900000</v>
      </c>
      <c r="M2252" s="1020"/>
      <c r="N2252" s="175"/>
      <c r="O2252" s="143"/>
      <c r="P2252" s="143"/>
    </row>
    <row r="2253" spans="1:16" s="166" customFormat="1" ht="15" x14ac:dyDescent="0.25">
      <c r="A2253" s="476"/>
      <c r="B2253" s="43"/>
      <c r="C2253" s="403"/>
      <c r="D2253" s="476"/>
      <c r="E2253" s="518"/>
      <c r="F2253" s="284"/>
      <c r="G2253" s="41"/>
      <c r="H2253" s="298"/>
      <c r="I2253" s="24"/>
      <c r="J2253" s="167"/>
      <c r="K2253" s="167"/>
      <c r="L2253" s="300"/>
      <c r="M2253" s="1020"/>
      <c r="N2253" s="175"/>
      <c r="O2253" s="143"/>
      <c r="P2253" s="143"/>
    </row>
    <row r="2254" spans="1:16" s="166" customFormat="1" ht="15" x14ac:dyDescent="0.25">
      <c r="A2254" s="476"/>
      <c r="B2254" s="43"/>
      <c r="C2254" s="403">
        <v>920</v>
      </c>
      <c r="D2254" s="476"/>
      <c r="E2254" s="518"/>
      <c r="F2254" s="749"/>
      <c r="G2254" s="41"/>
      <c r="H2254" s="298"/>
      <c r="I2254" s="260" t="s">
        <v>76</v>
      </c>
      <c r="J2254" s="331"/>
      <c r="K2254" s="331"/>
      <c r="L2254" s="332"/>
      <c r="M2254" s="1020"/>
      <c r="N2254" s="175"/>
      <c r="O2254" s="143"/>
      <c r="P2254" s="143"/>
    </row>
    <row r="2255" spans="1:16" s="166" customFormat="1" ht="15" x14ac:dyDescent="0.25">
      <c r="A2255" s="476"/>
      <c r="B2255" s="43"/>
      <c r="C2255" s="403"/>
      <c r="D2255" s="476"/>
      <c r="E2255" s="518"/>
      <c r="F2255" s="749"/>
      <c r="G2255" s="295"/>
      <c r="H2255" s="298"/>
      <c r="I2255" s="206"/>
      <c r="J2255" s="167"/>
      <c r="K2255" s="167"/>
      <c r="L2255" s="300"/>
      <c r="M2255" s="1020"/>
      <c r="N2255" s="175"/>
      <c r="O2255" s="143"/>
      <c r="P2255" s="143"/>
    </row>
    <row r="2256" spans="1:16" s="166" customFormat="1" ht="45" x14ac:dyDescent="0.2">
      <c r="A2256" s="476"/>
      <c r="B2256" s="43"/>
      <c r="C2256" s="403"/>
      <c r="D2256" s="476"/>
      <c r="E2256" s="520" t="s">
        <v>557</v>
      </c>
      <c r="F2256" s="358"/>
      <c r="G2256" s="381"/>
      <c r="H2256" s="360"/>
      <c r="I2256" s="362" t="s">
        <v>741</v>
      </c>
      <c r="J2256" s="71"/>
      <c r="K2256" s="71"/>
      <c r="L2256" s="233"/>
      <c r="M2256" s="1020"/>
      <c r="N2256" s="175"/>
      <c r="O2256" s="143"/>
      <c r="P2256" s="143"/>
    </row>
    <row r="2257" spans="1:16" s="166" customFormat="1" ht="15" x14ac:dyDescent="0.2">
      <c r="A2257" s="476"/>
      <c r="B2257" s="43"/>
      <c r="C2257" s="403"/>
      <c r="D2257" s="476"/>
      <c r="E2257" s="521"/>
      <c r="F2257" s="406">
        <v>455</v>
      </c>
      <c r="G2257" s="295"/>
      <c r="H2257" s="432" t="s">
        <v>717</v>
      </c>
      <c r="I2257" s="243" t="s">
        <v>222</v>
      </c>
      <c r="J2257" s="51">
        <v>600000</v>
      </c>
      <c r="K2257" s="51"/>
      <c r="L2257" s="51">
        <v>600000</v>
      </c>
      <c r="M2257" s="1020"/>
      <c r="N2257" s="175"/>
      <c r="O2257" s="143"/>
      <c r="P2257" s="143"/>
    </row>
    <row r="2258" spans="1:16" s="166" customFormat="1" ht="15" x14ac:dyDescent="0.2">
      <c r="A2258" s="476"/>
      <c r="B2258" s="43"/>
      <c r="C2258" s="403"/>
      <c r="D2258" s="476"/>
      <c r="E2258" s="518"/>
      <c r="F2258" s="284"/>
      <c r="G2258" s="41"/>
      <c r="H2258" s="285"/>
      <c r="I2258" s="194" t="s">
        <v>74</v>
      </c>
      <c r="J2258" s="51">
        <v>600000</v>
      </c>
      <c r="K2258" s="51"/>
      <c r="L2258" s="51">
        <f>SUM(J2258:K2258)</f>
        <v>600000</v>
      </c>
      <c r="M2258" s="1020"/>
      <c r="N2258" s="175"/>
      <c r="O2258" s="143"/>
      <c r="P2258" s="143"/>
    </row>
    <row r="2259" spans="1:16" s="166" customFormat="1" x14ac:dyDescent="0.2">
      <c r="A2259" s="476"/>
      <c r="B2259" s="43"/>
      <c r="C2259" s="473"/>
      <c r="D2259" s="476"/>
      <c r="E2259" s="518"/>
      <c r="F2259" s="284"/>
      <c r="G2259" s="47" t="s">
        <v>37</v>
      </c>
      <c r="H2259" s="286"/>
      <c r="I2259" s="194" t="s">
        <v>38</v>
      </c>
      <c r="J2259" s="51">
        <f>SUM(J2258)</f>
        <v>600000</v>
      </c>
      <c r="K2259" s="51"/>
      <c r="L2259" s="51">
        <f>SUM(J2258:K2258)</f>
        <v>600000</v>
      </c>
      <c r="M2259" s="1020"/>
      <c r="N2259" s="175"/>
      <c r="O2259" s="143"/>
      <c r="P2259" s="143"/>
    </row>
    <row r="2260" spans="1:16" s="166" customFormat="1" ht="15" x14ac:dyDescent="0.25">
      <c r="A2260" s="476"/>
      <c r="B2260" s="43"/>
      <c r="C2260" s="403"/>
      <c r="D2260" s="476"/>
      <c r="E2260" s="518"/>
      <c r="F2260" s="284"/>
      <c r="G2260" s="47"/>
      <c r="H2260" s="288"/>
      <c r="I2260" s="57" t="s">
        <v>704</v>
      </c>
      <c r="J2260" s="52">
        <f>SUM(J2258)</f>
        <v>600000</v>
      </c>
      <c r="K2260" s="52"/>
      <c r="L2260" s="52">
        <f>SUM(J2259:K2259)</f>
        <v>600000</v>
      </c>
      <c r="M2260" s="1020"/>
      <c r="N2260" s="175"/>
      <c r="O2260" s="143"/>
      <c r="P2260" s="143"/>
    </row>
    <row r="2261" spans="1:16" s="166" customFormat="1" ht="15" x14ac:dyDescent="0.2">
      <c r="A2261" s="476"/>
      <c r="B2261" s="43"/>
      <c r="C2261" s="403"/>
      <c r="D2261" s="476"/>
      <c r="E2261" s="518"/>
      <c r="F2261" s="284"/>
      <c r="G2261" s="41"/>
      <c r="H2261" s="285"/>
      <c r="I2261" s="17"/>
      <c r="J2261" s="167"/>
      <c r="K2261" s="167"/>
      <c r="L2261" s="300"/>
      <c r="M2261" s="1020"/>
      <c r="N2261" s="175"/>
      <c r="O2261" s="143"/>
      <c r="P2261" s="143"/>
    </row>
    <row r="2262" spans="1:16" s="166" customFormat="1" ht="15" x14ac:dyDescent="0.2">
      <c r="A2262" s="476"/>
      <c r="B2262" s="43"/>
      <c r="C2262" s="403">
        <v>620</v>
      </c>
      <c r="D2262" s="476"/>
      <c r="E2262" s="518"/>
      <c r="F2262" s="284"/>
      <c r="G2262" s="41"/>
      <c r="H2262" s="285"/>
      <c r="I2262" s="17" t="s">
        <v>105</v>
      </c>
      <c r="J2262" s="167"/>
      <c r="K2262" s="167"/>
      <c r="L2262" s="300"/>
      <c r="M2262" s="1020"/>
      <c r="N2262" s="175"/>
      <c r="O2262" s="143"/>
      <c r="P2262" s="143"/>
    </row>
    <row r="2263" spans="1:16" s="166" customFormat="1" ht="15" x14ac:dyDescent="0.2">
      <c r="A2263" s="476"/>
      <c r="B2263" s="43"/>
      <c r="C2263" s="403"/>
      <c r="D2263" s="476"/>
      <c r="E2263" s="518"/>
      <c r="F2263" s="284"/>
      <c r="G2263" s="41"/>
      <c r="H2263" s="286"/>
      <c r="I2263" s="17"/>
      <c r="J2263" s="167"/>
      <c r="K2263" s="167"/>
      <c r="L2263" s="300"/>
      <c r="M2263" s="1020"/>
      <c r="N2263" s="175"/>
      <c r="O2263" s="143"/>
      <c r="P2263" s="143"/>
    </row>
    <row r="2264" spans="1:16" s="166" customFormat="1" ht="22.5" x14ac:dyDescent="0.2">
      <c r="A2264" s="44"/>
      <c r="B2264" s="44"/>
      <c r="C2264" s="43"/>
      <c r="D2264" s="44"/>
      <c r="E2264" s="520" t="s">
        <v>557</v>
      </c>
      <c r="F2264" s="358"/>
      <c r="G2264" s="307"/>
      <c r="H2264" s="423"/>
      <c r="I2264" s="362" t="s">
        <v>740</v>
      </c>
      <c r="J2264" s="71"/>
      <c r="K2264" s="71"/>
      <c r="L2264" s="233"/>
      <c r="M2264" s="1020"/>
      <c r="N2264" s="175"/>
      <c r="O2264" s="143"/>
      <c r="P2264" s="143"/>
    </row>
    <row r="2265" spans="1:16" s="166" customFormat="1" x14ac:dyDescent="0.2">
      <c r="A2265" s="44"/>
      <c r="B2265" s="44"/>
      <c r="C2265" s="43"/>
      <c r="D2265" s="44"/>
      <c r="E2265" s="518"/>
      <c r="F2265" s="284">
        <v>456</v>
      </c>
      <c r="G2265" s="41"/>
      <c r="H2265" s="285" t="s">
        <v>270</v>
      </c>
      <c r="I2265" s="57" t="s">
        <v>584</v>
      </c>
      <c r="J2265" s="51">
        <v>108000</v>
      </c>
      <c r="K2265" s="51"/>
      <c r="L2265" s="51">
        <f>SUM(J2265:K2265)</f>
        <v>108000</v>
      </c>
      <c r="M2265" s="1020"/>
      <c r="N2265" s="175"/>
      <c r="O2265" s="143"/>
      <c r="P2265" s="143"/>
    </row>
    <row r="2266" spans="1:16" s="166" customFormat="1" x14ac:dyDescent="0.2">
      <c r="A2266" s="44"/>
      <c r="B2266" s="44"/>
      <c r="C2266" s="43"/>
      <c r="D2266" s="44"/>
      <c r="E2266" s="518"/>
      <c r="F2266" s="284"/>
      <c r="G2266" s="47" t="s">
        <v>37</v>
      </c>
      <c r="H2266" s="285"/>
      <c r="I2266" s="194" t="s">
        <v>38</v>
      </c>
      <c r="J2266" s="51">
        <f>SUM(J2265-J2268)</f>
        <v>46000</v>
      </c>
      <c r="K2266" s="51"/>
      <c r="L2266" s="51">
        <f t="shared" ref="L2266:L2269" si="136">SUM(J2266:K2266)</f>
        <v>46000</v>
      </c>
      <c r="M2266" s="1020"/>
      <c r="N2266" s="175"/>
      <c r="O2266" s="143"/>
      <c r="P2266" s="143"/>
    </row>
    <row r="2267" spans="1:16" s="166" customFormat="1" x14ac:dyDescent="0.2">
      <c r="A2267" s="44"/>
      <c r="B2267" s="43"/>
      <c r="C2267" s="43"/>
      <c r="D2267" s="476"/>
      <c r="E2267" s="518"/>
      <c r="F2267" s="284"/>
      <c r="G2267" s="47" t="s">
        <v>113</v>
      </c>
      <c r="H2267" s="285"/>
      <c r="I2267" s="194" t="s">
        <v>418</v>
      </c>
      <c r="J2267" s="51">
        <v>0</v>
      </c>
      <c r="K2267" s="51"/>
      <c r="L2267" s="51">
        <f t="shared" si="136"/>
        <v>0</v>
      </c>
      <c r="M2267" s="1020"/>
      <c r="N2267" s="175"/>
      <c r="O2267" s="143"/>
      <c r="P2267" s="143"/>
    </row>
    <row r="2268" spans="1:16" s="166" customFormat="1" x14ac:dyDescent="0.2">
      <c r="A2268" s="44"/>
      <c r="B2268" s="43"/>
      <c r="C2268" s="43"/>
      <c r="D2268" s="476"/>
      <c r="E2268" s="518"/>
      <c r="F2268" s="284"/>
      <c r="G2268" s="47" t="s">
        <v>1081</v>
      </c>
      <c r="H2268" s="285"/>
      <c r="I2268" s="194" t="s">
        <v>1082</v>
      </c>
      <c r="J2268" s="51">
        <v>62000</v>
      </c>
      <c r="K2268" s="51"/>
      <c r="L2268" s="51">
        <f t="shared" si="136"/>
        <v>62000</v>
      </c>
      <c r="M2268" s="1020"/>
      <c r="N2268" s="175"/>
      <c r="O2268" s="143"/>
      <c r="P2268" s="143"/>
    </row>
    <row r="2269" spans="1:16" s="166" customFormat="1" x14ac:dyDescent="0.2">
      <c r="A2269" s="44"/>
      <c r="B2269" s="43"/>
      <c r="C2269" s="43"/>
      <c r="D2269" s="476"/>
      <c r="E2269" s="518"/>
      <c r="F2269" s="284"/>
      <c r="G2269" s="47"/>
      <c r="H2269" s="286"/>
      <c r="I2269" s="57" t="s">
        <v>704</v>
      </c>
      <c r="J2269" s="52">
        <f>SUM(J2265)</f>
        <v>108000</v>
      </c>
      <c r="K2269" s="52"/>
      <c r="L2269" s="52">
        <f t="shared" si="136"/>
        <v>108000</v>
      </c>
      <c r="M2269" s="1020"/>
      <c r="N2269" s="175"/>
      <c r="O2269" s="143"/>
      <c r="P2269" s="143"/>
    </row>
    <row r="2270" spans="1:16" s="166" customFormat="1" x14ac:dyDescent="0.2">
      <c r="A2270" s="44"/>
      <c r="B2270" s="43"/>
      <c r="C2270" s="43"/>
      <c r="D2270" s="476"/>
      <c r="E2270" s="518"/>
      <c r="F2270" s="284"/>
      <c r="G2270" s="41"/>
      <c r="H2270" s="285"/>
      <c r="I2270" s="533"/>
      <c r="J2270" s="315"/>
      <c r="K2270" s="315"/>
      <c r="L2270" s="315"/>
      <c r="M2270" s="998"/>
      <c r="N2270" s="175"/>
      <c r="O2270" s="143"/>
      <c r="P2270" s="143"/>
    </row>
    <row r="2271" spans="1:16" s="166" customFormat="1" ht="22.5" x14ac:dyDescent="0.2">
      <c r="A2271" s="44"/>
      <c r="B2271" s="43"/>
      <c r="C2271" s="43"/>
      <c r="D2271" s="476"/>
      <c r="E2271" s="520" t="s">
        <v>557</v>
      </c>
      <c r="F2271" s="358"/>
      <c r="G2271" s="307"/>
      <c r="H2271" s="423"/>
      <c r="I2271" s="312" t="s">
        <v>895</v>
      </c>
      <c r="J2271" s="232"/>
      <c r="K2271" s="71"/>
      <c r="L2271" s="233"/>
      <c r="M2271" s="1020"/>
      <c r="N2271" s="175"/>
      <c r="O2271" s="143"/>
      <c r="P2271" s="143"/>
    </row>
    <row r="2272" spans="1:16" s="180" customFormat="1" ht="15" x14ac:dyDescent="0.25">
      <c r="A2272" s="44"/>
      <c r="B2272" s="44"/>
      <c r="C2272" s="43"/>
      <c r="D2272" s="44"/>
      <c r="E2272" s="518"/>
      <c r="F2272" s="284">
        <v>457</v>
      </c>
      <c r="G2272" s="41"/>
      <c r="H2272" s="285" t="s">
        <v>270</v>
      </c>
      <c r="I2272" s="194" t="s">
        <v>20</v>
      </c>
      <c r="J2272" s="56">
        <v>2040000</v>
      </c>
      <c r="K2272" s="51"/>
      <c r="L2272" s="51">
        <f>SUM(J2272:K2272)</f>
        <v>2040000</v>
      </c>
      <c r="M2272" s="1021"/>
      <c r="N2272" s="178"/>
      <c r="O2272" s="179"/>
      <c r="P2272" s="179"/>
    </row>
    <row r="2273" spans="1:22" s="180" customFormat="1" ht="15" x14ac:dyDescent="0.25">
      <c r="A2273" s="44"/>
      <c r="B2273" s="43"/>
      <c r="C2273" s="43"/>
      <c r="D2273" s="476"/>
      <c r="E2273" s="518"/>
      <c r="F2273" s="284"/>
      <c r="G2273" s="47" t="s">
        <v>37</v>
      </c>
      <c r="H2273" s="285"/>
      <c r="I2273" s="194" t="s">
        <v>38</v>
      </c>
      <c r="J2273" s="56">
        <f>SUM(J2272:J2272)</f>
        <v>2040000</v>
      </c>
      <c r="K2273" s="51"/>
      <c r="L2273" s="51">
        <f>SUM(J2272:K2272)</f>
        <v>2040000</v>
      </c>
      <c r="M2273" s="1021"/>
      <c r="N2273" s="178"/>
      <c r="O2273" s="179"/>
      <c r="P2273" s="179"/>
    </row>
    <row r="2274" spans="1:22" s="171" customFormat="1" ht="15" x14ac:dyDescent="0.25">
      <c r="A2274" s="44"/>
      <c r="B2274" s="43"/>
      <c r="C2274" s="43"/>
      <c r="D2274" s="476"/>
      <c r="E2274" s="518"/>
      <c r="F2274" s="284"/>
      <c r="G2274" s="41"/>
      <c r="H2274" s="286"/>
      <c r="I2274" s="202" t="s">
        <v>710</v>
      </c>
      <c r="J2274" s="48">
        <f>SUM(J2273)</f>
        <v>2040000</v>
      </c>
      <c r="K2274" s="52"/>
      <c r="L2274" s="52">
        <f>SUM(L2273)</f>
        <v>2040000</v>
      </c>
      <c r="M2274" s="1021"/>
      <c r="N2274" s="835"/>
      <c r="O2274" s="821"/>
      <c r="P2274" s="821"/>
    </row>
    <row r="2275" spans="1:22" s="181" customFormat="1" ht="15" x14ac:dyDescent="0.25">
      <c r="A2275" s="44"/>
      <c r="B2275" s="43"/>
      <c r="C2275" s="43"/>
      <c r="D2275" s="476"/>
      <c r="E2275" s="518"/>
      <c r="F2275" s="284"/>
      <c r="G2275" s="41"/>
      <c r="H2275" s="286"/>
      <c r="I2275" s="533"/>
      <c r="J2275" s="315"/>
      <c r="K2275" s="315"/>
      <c r="L2275" s="315"/>
      <c r="M2275" s="1021"/>
      <c r="N2275" s="1145"/>
      <c r="O2275" s="1145"/>
      <c r="P2275" s="1145"/>
      <c r="Q2275" s="1145"/>
      <c r="R2275" s="1145"/>
      <c r="S2275" s="1145"/>
      <c r="T2275" s="1145"/>
      <c r="U2275" s="1145"/>
      <c r="V2275" s="1145"/>
    </row>
    <row r="2276" spans="1:22" s="181" customFormat="1" ht="22.5" x14ac:dyDescent="0.25">
      <c r="A2276" s="44"/>
      <c r="B2276" s="43"/>
      <c r="C2276" s="43"/>
      <c r="D2276" s="476"/>
      <c r="E2276" s="520" t="s">
        <v>557</v>
      </c>
      <c r="F2276" s="358"/>
      <c r="G2276" s="307"/>
      <c r="H2276" s="360"/>
      <c r="I2276" s="368" t="s">
        <v>739</v>
      </c>
      <c r="J2276" s="299"/>
      <c r="K2276" s="299"/>
      <c r="L2276" s="49"/>
      <c r="M2276" s="1021"/>
      <c r="N2276" s="836"/>
      <c r="O2276" s="836"/>
      <c r="P2276" s="836"/>
      <c r="Q2276" s="388"/>
      <c r="R2276" s="388"/>
      <c r="S2276" s="388"/>
      <c r="T2276" s="388"/>
      <c r="U2276" s="388"/>
      <c r="V2276" s="388"/>
    </row>
    <row r="2277" spans="1:22" x14ac:dyDescent="0.2">
      <c r="B2277" s="43"/>
      <c r="D2277" s="476"/>
      <c r="E2277" s="518"/>
      <c r="F2277" s="284">
        <v>458</v>
      </c>
      <c r="G2277" s="41"/>
      <c r="H2277" s="284">
        <v>511</v>
      </c>
      <c r="I2277" s="194" t="s">
        <v>20</v>
      </c>
      <c r="J2277" s="963">
        <v>2</v>
      </c>
      <c r="K2277" s="963"/>
      <c r="L2277" s="963">
        <f>SUM(J2277:K2277)</f>
        <v>2</v>
      </c>
    </row>
    <row r="2278" spans="1:22" x14ac:dyDescent="0.2">
      <c r="E2278" s="518"/>
      <c r="F2278" s="284"/>
      <c r="G2278" s="47" t="s">
        <v>37</v>
      </c>
      <c r="H2278" s="285"/>
      <c r="I2278" s="194" t="s">
        <v>38</v>
      </c>
      <c r="J2278" s="963">
        <f>SUM(J2277-J2279)</f>
        <v>1</v>
      </c>
      <c r="K2278" s="963"/>
      <c r="L2278" s="963">
        <f t="shared" ref="L2278:L2280" si="137">SUM(J2278:K2278)</f>
        <v>1</v>
      </c>
    </row>
    <row r="2279" spans="1:22" x14ac:dyDescent="0.2">
      <c r="B2279" s="43"/>
      <c r="D2279" s="476"/>
      <c r="E2279" s="518"/>
      <c r="F2279" s="284"/>
      <c r="G2279" s="47" t="s">
        <v>113</v>
      </c>
      <c r="H2279" s="285"/>
      <c r="I2279" s="194" t="s">
        <v>418</v>
      </c>
      <c r="J2279" s="963">
        <v>1</v>
      </c>
      <c r="K2279" s="963"/>
      <c r="L2279" s="963">
        <f t="shared" si="137"/>
        <v>1</v>
      </c>
    </row>
    <row r="2280" spans="1:22" x14ac:dyDescent="0.2">
      <c r="B2280" s="43"/>
      <c r="D2280" s="476"/>
      <c r="E2280" s="518"/>
      <c r="F2280" s="284"/>
      <c r="G2280" s="41"/>
      <c r="H2280" s="286"/>
      <c r="I2280" s="202" t="s">
        <v>710</v>
      </c>
      <c r="J2280" s="52">
        <f>SUM(J2277)</f>
        <v>2</v>
      </c>
      <c r="K2280" s="52"/>
      <c r="L2280" s="52">
        <f t="shared" si="137"/>
        <v>2</v>
      </c>
    </row>
    <row r="2281" spans="1:22" x14ac:dyDescent="0.2">
      <c r="B2281" s="43"/>
      <c r="D2281" s="476"/>
      <c r="E2281" s="518"/>
      <c r="F2281" s="284"/>
      <c r="G2281" s="41"/>
      <c r="H2281" s="286"/>
    </row>
    <row r="2282" spans="1:22" ht="22.5" x14ac:dyDescent="0.2">
      <c r="B2282" s="43"/>
      <c r="D2282" s="476"/>
      <c r="E2282" s="520" t="s">
        <v>557</v>
      </c>
      <c r="F2282" s="358"/>
      <c r="G2282" s="307"/>
      <c r="H2282" s="360"/>
      <c r="I2282" s="368" t="s">
        <v>788</v>
      </c>
      <c r="J2282" s="234"/>
      <c r="K2282" s="299"/>
      <c r="L2282" s="49"/>
    </row>
    <row r="2283" spans="1:22" x14ac:dyDescent="0.2">
      <c r="B2283" s="43"/>
      <c r="D2283" s="476"/>
      <c r="E2283" s="518"/>
      <c r="F2283" s="284">
        <v>459</v>
      </c>
      <c r="G2283" s="41"/>
      <c r="H2283" s="285" t="s">
        <v>270</v>
      </c>
      <c r="I2283" s="194" t="s">
        <v>20</v>
      </c>
      <c r="J2283" s="56">
        <v>1000000</v>
      </c>
      <c r="K2283" s="51"/>
      <c r="L2283" s="51">
        <f>SUM(J2283:K2283)</f>
        <v>1000000</v>
      </c>
    </row>
    <row r="2284" spans="1:22" x14ac:dyDescent="0.2">
      <c r="B2284" s="43"/>
      <c r="D2284" s="476"/>
      <c r="E2284" s="518"/>
      <c r="F2284" s="284"/>
      <c r="G2284" s="47" t="s">
        <v>37</v>
      </c>
      <c r="H2284" s="285"/>
      <c r="I2284" s="194" t="s">
        <v>38</v>
      </c>
      <c r="J2284" s="56">
        <f>SUM(J2283-J2285)</f>
        <v>150000.33999999997</v>
      </c>
      <c r="K2284" s="51"/>
      <c r="L2284" s="51">
        <f t="shared" ref="L2284:L2286" si="138">SUM(J2284:K2284)</f>
        <v>150000.33999999997</v>
      </c>
    </row>
    <row r="2285" spans="1:22" x14ac:dyDescent="0.2">
      <c r="B2285" s="43"/>
      <c r="D2285" s="476"/>
      <c r="E2285" s="518"/>
      <c r="F2285" s="284"/>
      <c r="G2285" s="47" t="s">
        <v>113</v>
      </c>
      <c r="H2285" s="285"/>
      <c r="I2285" s="194" t="s">
        <v>418</v>
      </c>
      <c r="J2285" s="56">
        <v>849999.66</v>
      </c>
      <c r="K2285" s="51"/>
      <c r="L2285" s="51">
        <f t="shared" si="138"/>
        <v>849999.66</v>
      </c>
    </row>
    <row r="2286" spans="1:22" x14ac:dyDescent="0.2">
      <c r="B2286" s="43"/>
      <c r="D2286" s="476"/>
      <c r="E2286" s="518"/>
      <c r="F2286" s="284"/>
      <c r="G2286" s="41"/>
      <c r="H2286" s="286"/>
      <c r="I2286" s="202" t="s">
        <v>710</v>
      </c>
      <c r="J2286" s="48">
        <f>SUM(J2284:J2285)</f>
        <v>1000000</v>
      </c>
      <c r="K2286" s="52"/>
      <c r="L2286" s="52">
        <f t="shared" si="138"/>
        <v>1000000</v>
      </c>
    </row>
    <row r="2287" spans="1:22" x14ac:dyDescent="0.2">
      <c r="B2287" s="43"/>
      <c r="D2287" s="476"/>
      <c r="E2287" s="518"/>
      <c r="F2287" s="284"/>
      <c r="G2287" s="41"/>
      <c r="H2287" s="286"/>
      <c r="I2287" s="242"/>
      <c r="J2287" s="198"/>
      <c r="K2287" s="27"/>
      <c r="L2287" s="53"/>
    </row>
    <row r="2288" spans="1:22" ht="22.5" x14ac:dyDescent="0.2">
      <c r="B2288" s="43"/>
      <c r="D2288" s="476"/>
      <c r="E2288" s="520" t="s">
        <v>557</v>
      </c>
      <c r="F2288" s="358"/>
      <c r="G2288" s="307"/>
      <c r="H2288" s="360"/>
      <c r="I2288" s="368" t="s">
        <v>787</v>
      </c>
      <c r="J2288" s="234"/>
      <c r="K2288" s="299"/>
      <c r="L2288" s="49"/>
    </row>
    <row r="2289" spans="2:12" x14ac:dyDescent="0.2">
      <c r="B2289" s="43"/>
      <c r="D2289" s="476"/>
      <c r="E2289" s="518"/>
      <c r="F2289" s="284">
        <v>460</v>
      </c>
      <c r="G2289" s="41"/>
      <c r="H2289" s="285" t="s">
        <v>270</v>
      </c>
      <c r="I2289" s="194" t="s">
        <v>20</v>
      </c>
      <c r="J2289" s="56">
        <v>23435104</v>
      </c>
      <c r="K2289" s="51"/>
      <c r="L2289" s="51">
        <f>SUM(J2289:K2289)</f>
        <v>23435104</v>
      </c>
    </row>
    <row r="2290" spans="2:12" x14ac:dyDescent="0.2">
      <c r="B2290" s="43"/>
      <c r="D2290" s="476"/>
      <c r="E2290" s="518"/>
      <c r="F2290" s="284"/>
      <c r="G2290" s="47" t="s">
        <v>37</v>
      </c>
      <c r="H2290" s="285"/>
      <c r="I2290" s="194" t="s">
        <v>38</v>
      </c>
      <c r="J2290" s="56">
        <f>SUM(J2289-J2291)</f>
        <v>13862136</v>
      </c>
      <c r="K2290" s="51"/>
      <c r="L2290" s="51">
        <f t="shared" ref="L2290:L2292" si="139">SUM(J2290:K2290)</f>
        <v>13862136</v>
      </c>
    </row>
    <row r="2291" spans="2:12" x14ac:dyDescent="0.2">
      <c r="B2291" s="43"/>
      <c r="D2291" s="476"/>
      <c r="E2291" s="518"/>
      <c r="F2291" s="284"/>
      <c r="G2291" s="47" t="s">
        <v>113</v>
      </c>
      <c r="H2291" s="285"/>
      <c r="I2291" s="194" t="s">
        <v>418</v>
      </c>
      <c r="J2291" s="56">
        <v>9572968</v>
      </c>
      <c r="K2291" s="51"/>
      <c r="L2291" s="51">
        <f t="shared" si="139"/>
        <v>9572968</v>
      </c>
    </row>
    <row r="2292" spans="2:12" x14ac:dyDescent="0.2">
      <c r="B2292" s="43"/>
      <c r="D2292" s="476"/>
      <c r="E2292" s="518"/>
      <c r="F2292" s="284"/>
      <c r="G2292" s="41"/>
      <c r="H2292" s="285"/>
      <c r="I2292" s="202" t="s">
        <v>710</v>
      </c>
      <c r="J2292" s="48">
        <f>SUM(J2290:J2291)</f>
        <v>23435104</v>
      </c>
      <c r="K2292" s="52"/>
      <c r="L2292" s="52">
        <f t="shared" si="139"/>
        <v>23435104</v>
      </c>
    </row>
    <row r="2293" spans="2:12" x14ac:dyDescent="0.2">
      <c r="B2293" s="43"/>
      <c r="D2293" s="476"/>
      <c r="E2293" s="518"/>
      <c r="F2293" s="284"/>
      <c r="G2293" s="41"/>
      <c r="H2293" s="286"/>
      <c r="I2293" s="242"/>
      <c r="J2293" s="198"/>
      <c r="K2293" s="27"/>
      <c r="L2293" s="53"/>
    </row>
    <row r="2294" spans="2:12" x14ac:dyDescent="0.2">
      <c r="B2294" s="43"/>
      <c r="D2294" s="476"/>
      <c r="E2294" s="518"/>
      <c r="F2294" s="284"/>
      <c r="G2294" s="41"/>
      <c r="H2294" s="285"/>
      <c r="I2294" s="24"/>
      <c r="J2294" s="198"/>
      <c r="K2294" s="27"/>
      <c r="L2294" s="53"/>
    </row>
    <row r="2295" spans="2:12" ht="22.5" x14ac:dyDescent="0.2">
      <c r="B2295" s="43"/>
      <c r="D2295" s="476"/>
      <c r="E2295" s="520" t="s">
        <v>557</v>
      </c>
      <c r="F2295" s="358"/>
      <c r="G2295" s="307"/>
      <c r="H2295" s="423"/>
      <c r="I2295" s="368" t="s">
        <v>738</v>
      </c>
      <c r="J2295" s="234"/>
      <c r="K2295" s="299"/>
      <c r="L2295" s="49"/>
    </row>
    <row r="2296" spans="2:12" x14ac:dyDescent="0.2">
      <c r="E2296" s="518"/>
      <c r="F2296" s="284">
        <v>461</v>
      </c>
      <c r="G2296" s="41"/>
      <c r="H2296" s="285" t="s">
        <v>270</v>
      </c>
      <c r="I2296" s="194" t="s">
        <v>20</v>
      </c>
      <c r="J2296" s="56">
        <v>500000</v>
      </c>
      <c r="K2296" s="51"/>
      <c r="L2296" s="51">
        <f>SUM(J2296:K2296)</f>
        <v>500000</v>
      </c>
    </row>
    <row r="2297" spans="2:12" x14ac:dyDescent="0.2">
      <c r="E2297" s="518"/>
      <c r="F2297" s="284"/>
      <c r="G2297" s="47" t="s">
        <v>37</v>
      </c>
      <c r="H2297" s="285"/>
      <c r="I2297" s="194" t="s">
        <v>38</v>
      </c>
      <c r="J2297" s="56">
        <f>SUM(J2296)</f>
        <v>500000</v>
      </c>
      <c r="K2297" s="51"/>
      <c r="L2297" s="51">
        <f>SUM(J2296:K2296)</f>
        <v>500000</v>
      </c>
    </row>
    <row r="2298" spans="2:12" x14ac:dyDescent="0.2">
      <c r="B2298" s="43"/>
      <c r="D2298" s="476"/>
      <c r="E2298" s="518"/>
      <c r="F2298" s="284"/>
      <c r="G2298" s="41"/>
      <c r="H2298" s="286"/>
      <c r="I2298" s="202" t="s">
        <v>710</v>
      </c>
      <c r="J2298" s="48">
        <f>SUM(J2297)</f>
        <v>500000</v>
      </c>
      <c r="K2298" s="52"/>
      <c r="L2298" s="52">
        <f>SUM(L2297)</f>
        <v>500000</v>
      </c>
    </row>
    <row r="2299" spans="2:12" x14ac:dyDescent="0.2">
      <c r="B2299" s="43"/>
      <c r="D2299" s="476"/>
      <c r="E2299" s="518"/>
      <c r="F2299" s="284"/>
      <c r="G2299" s="41"/>
      <c r="H2299" s="286"/>
      <c r="I2299" s="242"/>
      <c r="J2299" s="198"/>
      <c r="K2299" s="27"/>
      <c r="L2299" s="27"/>
    </row>
    <row r="2300" spans="2:12" ht="22.5" x14ac:dyDescent="0.2">
      <c r="B2300" s="43"/>
      <c r="D2300" s="476"/>
      <c r="E2300" s="872" t="s">
        <v>557</v>
      </c>
      <c r="F2300" s="873"/>
      <c r="G2300" s="874"/>
      <c r="H2300" s="910"/>
      <c r="I2300" s="899" t="s">
        <v>1057</v>
      </c>
      <c r="J2300" s="900"/>
      <c r="K2300" s="189"/>
      <c r="L2300" s="901"/>
    </row>
    <row r="2301" spans="2:12" x14ac:dyDescent="0.2">
      <c r="B2301" s="43"/>
      <c r="D2301" s="476"/>
      <c r="E2301" s="769"/>
      <c r="F2301" s="770" t="s">
        <v>1056</v>
      </c>
      <c r="G2301" s="771"/>
      <c r="H2301" s="772" t="s">
        <v>270</v>
      </c>
      <c r="I2301" s="838" t="s">
        <v>20</v>
      </c>
      <c r="J2301" s="840">
        <v>1000000</v>
      </c>
      <c r="K2301" s="188"/>
      <c r="L2301" s="188">
        <f>SUM(J2301:K2301)</f>
        <v>1000000</v>
      </c>
    </row>
    <row r="2302" spans="2:12" x14ac:dyDescent="0.2">
      <c r="B2302" s="43"/>
      <c r="D2302" s="476"/>
      <c r="E2302" s="769"/>
      <c r="F2302" s="770"/>
      <c r="G2302" s="887" t="s">
        <v>37</v>
      </c>
      <c r="H2302" s="772"/>
      <c r="I2302" s="838" t="s">
        <v>38</v>
      </c>
      <c r="J2302" s="840">
        <f>SUM(J2301)</f>
        <v>1000000</v>
      </c>
      <c r="K2302" s="188"/>
      <c r="L2302" s="188">
        <f>SUM(J2301:K2301)</f>
        <v>1000000</v>
      </c>
    </row>
    <row r="2303" spans="2:12" x14ac:dyDescent="0.2">
      <c r="B2303" s="43"/>
      <c r="D2303" s="476"/>
      <c r="E2303" s="769"/>
      <c r="F2303" s="770"/>
      <c r="G2303" s="771"/>
      <c r="H2303" s="911"/>
      <c r="I2303" s="889" t="s">
        <v>710</v>
      </c>
      <c r="J2303" s="896">
        <f>SUM(J2302)</f>
        <v>1000000</v>
      </c>
      <c r="K2303" s="839"/>
      <c r="L2303" s="839">
        <f>SUM(L2302)</f>
        <v>1000000</v>
      </c>
    </row>
    <row r="2304" spans="2:12" x14ac:dyDescent="0.2">
      <c r="B2304" s="43"/>
      <c r="D2304" s="476"/>
      <c r="E2304" s="518"/>
      <c r="F2304" s="284"/>
      <c r="G2304" s="41"/>
      <c r="H2304" s="285"/>
    </row>
    <row r="2305" spans="2:12" ht="22.5" x14ac:dyDescent="0.2">
      <c r="B2305" s="43"/>
      <c r="D2305" s="476"/>
      <c r="E2305" s="520" t="s">
        <v>557</v>
      </c>
      <c r="F2305" s="358"/>
      <c r="G2305" s="307"/>
      <c r="H2305" s="360"/>
      <c r="I2305" s="368" t="s">
        <v>786</v>
      </c>
      <c r="J2305" s="234"/>
      <c r="K2305" s="299"/>
      <c r="L2305" s="49"/>
    </row>
    <row r="2306" spans="2:12" x14ac:dyDescent="0.2">
      <c r="B2306" s="43"/>
      <c r="D2306" s="476"/>
      <c r="E2306" s="518"/>
      <c r="F2306" s="284">
        <v>462</v>
      </c>
      <c r="G2306" s="41"/>
      <c r="H2306" s="285" t="s">
        <v>270</v>
      </c>
      <c r="I2306" s="194" t="s">
        <v>20</v>
      </c>
      <c r="J2306" s="56">
        <v>500000</v>
      </c>
      <c r="K2306" s="51"/>
      <c r="L2306" s="51">
        <f>SUM(J2306:K2306)</f>
        <v>500000</v>
      </c>
    </row>
    <row r="2307" spans="2:12" x14ac:dyDescent="0.2">
      <c r="B2307" s="43"/>
      <c r="D2307" s="476"/>
      <c r="E2307" s="518"/>
      <c r="F2307" s="284"/>
      <c r="G2307" s="47" t="s">
        <v>37</v>
      </c>
      <c r="H2307" s="285"/>
      <c r="I2307" s="194" t="s">
        <v>38</v>
      </c>
      <c r="J2307" s="56">
        <f>SUM(J2306)</f>
        <v>500000</v>
      </c>
      <c r="K2307" s="51"/>
      <c r="L2307" s="51">
        <f>SUM(J2306:K2306)</f>
        <v>500000</v>
      </c>
    </row>
    <row r="2308" spans="2:12" x14ac:dyDescent="0.2">
      <c r="B2308" s="43"/>
      <c r="D2308" s="476"/>
      <c r="E2308" s="518"/>
      <c r="F2308" s="284"/>
      <c r="G2308" s="41"/>
      <c r="H2308" s="286"/>
      <c r="I2308" s="202" t="s">
        <v>710</v>
      </c>
      <c r="J2308" s="48">
        <f>SUM(J2307)</f>
        <v>500000</v>
      </c>
      <c r="K2308" s="52"/>
      <c r="L2308" s="52">
        <f>SUM(L2307)</f>
        <v>500000</v>
      </c>
    </row>
    <row r="2309" spans="2:12" x14ac:dyDescent="0.2">
      <c r="B2309" s="43"/>
      <c r="D2309" s="476"/>
      <c r="E2309" s="518"/>
      <c r="F2309" s="284"/>
      <c r="G2309" s="41"/>
      <c r="H2309" s="285"/>
      <c r="I2309" s="17"/>
      <c r="J2309" s="198"/>
      <c r="K2309" s="27"/>
      <c r="L2309" s="53"/>
    </row>
    <row r="2310" spans="2:12" ht="22.5" x14ac:dyDescent="0.2">
      <c r="B2310" s="43"/>
      <c r="D2310" s="476"/>
      <c r="E2310" s="520" t="s">
        <v>557</v>
      </c>
      <c r="F2310" s="358"/>
      <c r="G2310" s="307"/>
      <c r="H2310" s="360"/>
      <c r="I2310" s="312" t="s">
        <v>896</v>
      </c>
      <c r="J2310" s="232"/>
      <c r="K2310" s="71"/>
      <c r="L2310" s="233"/>
    </row>
    <row r="2311" spans="2:12" x14ac:dyDescent="0.2">
      <c r="B2311" s="43"/>
      <c r="D2311" s="476"/>
      <c r="E2311" s="518"/>
      <c r="F2311" s="284">
        <v>463</v>
      </c>
      <c r="G2311" s="41"/>
      <c r="H2311" s="285" t="s">
        <v>270</v>
      </c>
      <c r="I2311" s="194" t="s">
        <v>20</v>
      </c>
      <c r="J2311" s="56">
        <v>4284000</v>
      </c>
      <c r="K2311" s="51"/>
      <c r="L2311" s="51">
        <f>SUM(J2311:K2311)</f>
        <v>4284000</v>
      </c>
    </row>
    <row r="2312" spans="2:12" x14ac:dyDescent="0.2">
      <c r="B2312" s="43"/>
      <c r="D2312" s="476"/>
      <c r="E2312" s="518"/>
      <c r="F2312" s="284"/>
      <c r="G2312" s="47" t="s">
        <v>37</v>
      </c>
      <c r="H2312" s="285"/>
      <c r="I2312" s="194" t="s">
        <v>38</v>
      </c>
      <c r="J2312" s="56">
        <f>SUM(J2311:J2311)</f>
        <v>4284000</v>
      </c>
      <c r="K2312" s="51"/>
      <c r="L2312" s="51">
        <f>SUM(J2311:K2311)</f>
        <v>4284000</v>
      </c>
    </row>
    <row r="2313" spans="2:12" x14ac:dyDescent="0.2">
      <c r="B2313" s="43"/>
      <c r="D2313" s="476"/>
      <c r="E2313" s="518"/>
      <c r="F2313" s="284"/>
      <c r="G2313" s="41"/>
      <c r="H2313" s="286"/>
      <c r="I2313" s="202" t="s">
        <v>710</v>
      </c>
      <c r="J2313" s="48">
        <f>SUM(J2312)</f>
        <v>4284000</v>
      </c>
      <c r="K2313" s="52"/>
      <c r="L2313" s="52">
        <f>SUM(L2312)</f>
        <v>4284000</v>
      </c>
    </row>
    <row r="2314" spans="2:12" x14ac:dyDescent="0.2">
      <c r="B2314" s="43"/>
      <c r="D2314" s="476"/>
      <c r="E2314" s="518"/>
      <c r="F2314" s="284"/>
      <c r="G2314" s="41"/>
      <c r="H2314" s="285"/>
      <c r="I2314" s="17"/>
      <c r="J2314" s="198"/>
      <c r="K2314" s="27"/>
      <c r="L2314" s="53"/>
    </row>
    <row r="2315" spans="2:12" x14ac:dyDescent="0.2">
      <c r="B2315" s="43"/>
      <c r="D2315" s="476"/>
      <c r="E2315" s="520" t="s">
        <v>557</v>
      </c>
      <c r="F2315" s="358"/>
      <c r="G2315" s="307"/>
      <c r="H2315" s="360"/>
      <c r="I2315" s="312" t="s">
        <v>894</v>
      </c>
      <c r="J2315" s="232"/>
      <c r="K2315" s="71"/>
      <c r="L2315" s="233"/>
    </row>
    <row r="2316" spans="2:12" x14ac:dyDescent="0.2">
      <c r="B2316" s="43"/>
      <c r="D2316" s="476"/>
      <c r="E2316" s="518"/>
      <c r="F2316" s="284">
        <v>464</v>
      </c>
      <c r="G2316" s="41"/>
      <c r="H2316" s="285" t="s">
        <v>270</v>
      </c>
      <c r="I2316" s="194" t="s">
        <v>20</v>
      </c>
      <c r="J2316" s="973">
        <v>1</v>
      </c>
      <c r="K2316" s="963"/>
      <c r="L2316" s="963">
        <f>SUM(J2316:K2316)</f>
        <v>1</v>
      </c>
    </row>
    <row r="2317" spans="2:12" x14ac:dyDescent="0.2">
      <c r="B2317" s="43"/>
      <c r="D2317" s="476"/>
      <c r="E2317" s="518"/>
      <c r="F2317" s="284"/>
      <c r="G2317" s="47" t="s">
        <v>37</v>
      </c>
      <c r="H2317" s="285"/>
      <c r="I2317" s="194" t="s">
        <v>38</v>
      </c>
      <c r="J2317" s="973">
        <f>SUM(J2316:J2316)</f>
        <v>1</v>
      </c>
      <c r="K2317" s="963"/>
      <c r="L2317" s="963">
        <f>SUM(J2316:K2316)</f>
        <v>1</v>
      </c>
    </row>
    <row r="2318" spans="2:12" x14ac:dyDescent="0.2">
      <c r="B2318" s="43"/>
      <c r="D2318" s="476"/>
      <c r="E2318" s="518"/>
      <c r="F2318" s="284"/>
      <c r="G2318" s="41"/>
      <c r="H2318" s="286"/>
      <c r="I2318" s="202" t="s">
        <v>710</v>
      </c>
      <c r="J2318" s="978">
        <f>SUM(J2317)</f>
        <v>1</v>
      </c>
      <c r="K2318" s="969"/>
      <c r="L2318" s="969">
        <f>SUM(L2317)</f>
        <v>1</v>
      </c>
    </row>
    <row r="2319" spans="2:12" x14ac:dyDescent="0.2">
      <c r="B2319" s="43"/>
      <c r="D2319" s="476"/>
      <c r="E2319" s="518"/>
      <c r="F2319" s="284"/>
      <c r="G2319" s="41"/>
      <c r="H2319" s="285"/>
      <c r="I2319" s="102"/>
      <c r="J2319" s="234"/>
      <c r="K2319" s="299"/>
      <c r="L2319" s="49"/>
    </row>
    <row r="2320" spans="2:12" ht="22.5" x14ac:dyDescent="0.2">
      <c r="B2320" s="43"/>
      <c r="D2320" s="476"/>
      <c r="E2320" s="520" t="s">
        <v>557</v>
      </c>
      <c r="F2320" s="358"/>
      <c r="G2320" s="307"/>
      <c r="H2320" s="423"/>
      <c r="I2320" s="368" t="s">
        <v>785</v>
      </c>
      <c r="J2320" s="234"/>
      <c r="K2320" s="299"/>
      <c r="L2320" s="49"/>
    </row>
    <row r="2321" spans="1:12" x14ac:dyDescent="0.2">
      <c r="A2321" s="648"/>
      <c r="B2321" s="583"/>
      <c r="C2321" s="583"/>
      <c r="D2321" s="582"/>
      <c r="E2321" s="563"/>
      <c r="F2321" s="284">
        <v>465</v>
      </c>
      <c r="G2321" s="41"/>
      <c r="H2321" s="284">
        <v>511</v>
      </c>
      <c r="I2321" s="194" t="s">
        <v>20</v>
      </c>
      <c r="J2321" s="56">
        <v>500000</v>
      </c>
      <c r="K2321" s="51"/>
      <c r="L2321" s="51">
        <f>SUM(J2321:K2321)</f>
        <v>500000</v>
      </c>
    </row>
    <row r="2322" spans="1:12" x14ac:dyDescent="0.2">
      <c r="E2322" s="518"/>
      <c r="F2322" s="284"/>
      <c r="G2322" s="47" t="s">
        <v>37</v>
      </c>
      <c r="H2322" s="286"/>
      <c r="I2322" s="194" t="s">
        <v>38</v>
      </c>
      <c r="J2322" s="56">
        <f>SUM(J2321)</f>
        <v>500000</v>
      </c>
      <c r="K2322" s="51"/>
      <c r="L2322" s="51">
        <f>SUM(J2321:K2321)</f>
        <v>500000</v>
      </c>
    </row>
    <row r="2323" spans="1:12" x14ac:dyDescent="0.2">
      <c r="A2323" s="732"/>
      <c r="B2323" s="732"/>
      <c r="C2323" s="158"/>
      <c r="D2323" s="732"/>
      <c r="E2323" s="733"/>
      <c r="F2323" s="407"/>
      <c r="G2323" s="41"/>
      <c r="H2323" s="286"/>
      <c r="I2323" s="202" t="s">
        <v>710</v>
      </c>
      <c r="J2323" s="48">
        <f>SUM(J2322)</f>
        <v>500000</v>
      </c>
      <c r="K2323" s="52"/>
      <c r="L2323" s="52">
        <f>SUM(L2322)</f>
        <v>500000</v>
      </c>
    </row>
    <row r="2324" spans="1:12" x14ac:dyDescent="0.2">
      <c r="A2324" s="462"/>
      <c r="B2324" s="462"/>
      <c r="C2324" s="21"/>
      <c r="D2324" s="462"/>
    </row>
    <row r="2325" spans="1:12" x14ac:dyDescent="0.2">
      <c r="A2325" s="462"/>
      <c r="B2325" s="462"/>
      <c r="C2325" s="21"/>
      <c r="D2325" s="462"/>
      <c r="I2325" s="241" t="s">
        <v>709</v>
      </c>
      <c r="J2325" s="357">
        <f>SUM(J2242+J2155+J2003+J1849+J1817+J1682+J1644+J1611+J1544+J1057+J975+J896+J842+J705+J472+J448+J333+J319+J294+J271+J234)</f>
        <v>5724168950.000001</v>
      </c>
      <c r="K2325" s="357">
        <f>SUM(K2242+K2155+K2003+K1849+K1817+K1682+K1644+K1611+K1544+K1057+K975+K896+K842+K705+K472+K448+K333+K319+K294+K271+K234)</f>
        <v>26698050</v>
      </c>
      <c r="L2325" s="357">
        <f>SUM(L2242+L2155+L2003+L1849+L1817+L1682+L1644+L1611+L1544+L1057+L975+L896+L842+L705+L472+L448+L333+L319+L294+L271+L234)</f>
        <v>5750867000.000001</v>
      </c>
    </row>
    <row r="2326" spans="1:12" x14ac:dyDescent="0.2">
      <c r="A2326" s="462"/>
      <c r="B2326" s="462"/>
      <c r="C2326" s="21"/>
      <c r="D2326" s="462"/>
    </row>
    <row r="2327" spans="1:12" ht="15" x14ac:dyDescent="0.2">
      <c r="A2327" s="462"/>
      <c r="B2327" s="462"/>
      <c r="C2327" s="21"/>
      <c r="D2327" s="172" t="s">
        <v>937</v>
      </c>
      <c r="E2327" s="778"/>
      <c r="F2327" s="779"/>
      <c r="G2327" s="780"/>
      <c r="H2327" s="170"/>
      <c r="I2327" s="156"/>
    </row>
    <row r="2328" spans="1:12" x14ac:dyDescent="0.2">
      <c r="A2328" s="462"/>
      <c r="B2328" s="462"/>
      <c r="C2328" s="21"/>
      <c r="D2328" s="462"/>
    </row>
    <row r="2329" spans="1:12" x14ac:dyDescent="0.2">
      <c r="A2329" s="462"/>
      <c r="B2329" s="462"/>
      <c r="C2329" s="21"/>
      <c r="D2329" s="462"/>
      <c r="I2329" s="788" t="s">
        <v>938</v>
      </c>
      <c r="J2329" s="51">
        <f>SUMIF($G$234:$G$2323,1,(J$234:J$2323))</f>
        <v>3886158571.5200005</v>
      </c>
      <c r="K2329" s="51">
        <f>SUMIF($G$234:$G$2323,1,(K$234:K$2323))</f>
        <v>0</v>
      </c>
      <c r="L2329" s="51">
        <f>SUM(J2329:K2329)</f>
        <v>3886158571.5200005</v>
      </c>
    </row>
    <row r="2330" spans="1:12" x14ac:dyDescent="0.2">
      <c r="A2330" s="462"/>
      <c r="B2330" s="462"/>
      <c r="C2330" s="21"/>
      <c r="D2330" s="462"/>
      <c r="I2330" s="789" t="s">
        <v>939</v>
      </c>
      <c r="J2330" s="51"/>
      <c r="K2330" s="51">
        <f>SUMIF($G$234:$G$2323,4,(K$234:K$2323))</f>
        <v>8548050</v>
      </c>
      <c r="L2330" s="51">
        <f t="shared" ref="L2330:L2337" si="140">SUM(J2330:K2330)</f>
        <v>8548050</v>
      </c>
    </row>
    <row r="2331" spans="1:12" x14ac:dyDescent="0.2">
      <c r="A2331" s="462"/>
      <c r="B2331" s="462"/>
      <c r="C2331" s="21"/>
      <c r="D2331" s="462"/>
      <c r="I2331" s="789" t="s">
        <v>940</v>
      </c>
      <c r="J2331" s="51">
        <f>SUMIF($G$234:$G$2323,6,(J$234:J$2323))</f>
        <v>42767000</v>
      </c>
      <c r="K2331" s="51">
        <f>SUMIF($G$234:$G$2323,6,(K$234:K$2323))</f>
        <v>0</v>
      </c>
      <c r="L2331" s="51">
        <f t="shared" si="140"/>
        <v>42767000</v>
      </c>
    </row>
    <row r="2332" spans="1:12" x14ac:dyDescent="0.2">
      <c r="A2332" s="462"/>
      <c r="B2332" s="462"/>
      <c r="C2332" s="21"/>
      <c r="D2332" s="462"/>
      <c r="I2332" s="789" t="s">
        <v>941</v>
      </c>
      <c r="J2332" s="51">
        <f>SUMIF($G$234:$G$2323,7,(J$234:J$2323))</f>
        <v>809179647.42000008</v>
      </c>
      <c r="K2332" s="51">
        <f>SUMIF($G$234:$G$2323,7,(K$234:K$2323))</f>
        <v>11200000</v>
      </c>
      <c r="L2332" s="51">
        <f t="shared" si="140"/>
        <v>820379647.42000008</v>
      </c>
    </row>
    <row r="2333" spans="1:12" x14ac:dyDescent="0.2">
      <c r="A2333" s="462"/>
      <c r="B2333" s="462"/>
      <c r="C2333" s="21"/>
      <c r="D2333" s="462"/>
      <c r="I2333" s="789" t="s">
        <v>942</v>
      </c>
      <c r="J2333" s="51">
        <f>SUMIF($G$234:$G$2323,8,(J$234:J$2323))</f>
        <v>0</v>
      </c>
      <c r="K2333" s="51">
        <f>SUMIF($G$234:$G$2323,8,(K$234:K$2323))</f>
        <v>500000</v>
      </c>
      <c r="L2333" s="51">
        <f t="shared" si="140"/>
        <v>500000</v>
      </c>
    </row>
    <row r="2334" spans="1:12" x14ac:dyDescent="0.2">
      <c r="A2334" s="462"/>
      <c r="B2334" s="462"/>
      <c r="C2334" s="21"/>
      <c r="D2334" s="462"/>
      <c r="I2334" s="789" t="s">
        <v>943</v>
      </c>
      <c r="J2334" s="51">
        <f>SUMIF($G$234:$G$2323,9,(J$234:J$2323))</f>
        <v>0</v>
      </c>
      <c r="K2334" s="51">
        <f>SUMIF($G$234:$G$2323,9,(K$234:K$2323))</f>
        <v>4950000</v>
      </c>
      <c r="L2334" s="51">
        <f t="shared" si="140"/>
        <v>4950000</v>
      </c>
    </row>
    <row r="2335" spans="1:12" x14ac:dyDescent="0.2">
      <c r="A2335" s="462"/>
      <c r="B2335" s="462"/>
      <c r="C2335" s="21"/>
      <c r="D2335" s="462"/>
      <c r="I2335" s="789" t="s">
        <v>944</v>
      </c>
      <c r="J2335" s="51">
        <f>SUMIF($G$234:$G$2323,10,(J$234:J$2323))</f>
        <v>588126351.10000002</v>
      </c>
      <c r="K2335" s="51">
        <f>SUMIF($G$234:$G$2323,10,(K$234:K$2323))</f>
        <v>0</v>
      </c>
      <c r="L2335" s="51">
        <f t="shared" si="140"/>
        <v>588126351.10000002</v>
      </c>
    </row>
    <row r="2336" spans="1:12" x14ac:dyDescent="0.2">
      <c r="A2336" s="462"/>
      <c r="B2336" s="462"/>
      <c r="C2336" s="21"/>
      <c r="D2336" s="462"/>
      <c r="I2336" s="789" t="s">
        <v>1083</v>
      </c>
      <c r="J2336" s="51">
        <f>SUMIF($G$234:$G$2323,13,(J$234:J$2323))</f>
        <v>397937379.95999998</v>
      </c>
      <c r="K2336" s="51"/>
      <c r="L2336" s="51">
        <f t="shared" si="140"/>
        <v>397937379.95999998</v>
      </c>
    </row>
    <row r="2337" spans="1:12" x14ac:dyDescent="0.2">
      <c r="A2337" s="462"/>
      <c r="B2337" s="462"/>
      <c r="C2337" s="21"/>
      <c r="D2337" s="462"/>
      <c r="I2337" s="789" t="s">
        <v>945</v>
      </c>
      <c r="J2337" s="51">
        <f>SUMIF($G$234:$G$2323,16,(J$234:J$2323))</f>
        <v>0</v>
      </c>
      <c r="K2337" s="51">
        <f>SUMIF($G$234:$G$2323,16,(K$234:K$2323))</f>
        <v>1500000</v>
      </c>
      <c r="L2337" s="51">
        <f t="shared" si="140"/>
        <v>1500000</v>
      </c>
    </row>
    <row r="2338" spans="1:12" x14ac:dyDescent="0.2">
      <c r="A2338" s="462"/>
      <c r="B2338" s="462"/>
      <c r="C2338" s="21"/>
      <c r="D2338" s="462"/>
      <c r="I2338" s="764" t="s">
        <v>777</v>
      </c>
      <c r="J2338" s="52">
        <f>SUM(J2329:J2337)</f>
        <v>5724168950.000001</v>
      </c>
      <c r="K2338" s="52">
        <f t="shared" ref="K2338" si="141">SUM(K2329:K2337)</f>
        <v>26698050</v>
      </c>
      <c r="L2338" s="52">
        <f>SUM(L2329:L2337)</f>
        <v>5750867000.000001</v>
      </c>
    </row>
    <row r="2339" spans="1:12" x14ac:dyDescent="0.2">
      <c r="A2339" s="462"/>
      <c r="B2339" s="462"/>
      <c r="C2339" s="21"/>
      <c r="D2339" s="462"/>
    </row>
    <row r="2340" spans="1:12" x14ac:dyDescent="0.2">
      <c r="A2340" s="757"/>
      <c r="B2340" s="757"/>
      <c r="C2340" s="757"/>
      <c r="D2340" s="757"/>
      <c r="E2340" s="757"/>
      <c r="F2340" s="757"/>
      <c r="G2340" s="758"/>
      <c r="H2340" s="759"/>
      <c r="I2340" s="758"/>
      <c r="J2340" s="758"/>
      <c r="K2340" s="526"/>
    </row>
    <row r="2341" spans="1:12" x14ac:dyDescent="0.2">
      <c r="A2341" s="1191" t="s">
        <v>772</v>
      </c>
      <c r="B2341" s="1191"/>
      <c r="C2341" s="1191"/>
      <c r="D2341" s="1191"/>
      <c r="E2341" s="1191"/>
      <c r="F2341" s="1191"/>
      <c r="G2341" s="1191"/>
      <c r="H2341" s="1191"/>
      <c r="I2341" s="1191"/>
      <c r="J2341" s="1191"/>
      <c r="K2341" s="1191"/>
    </row>
    <row r="2342" spans="1:12" x14ac:dyDescent="0.2">
      <c r="A2342" s="757"/>
      <c r="B2342" s="757"/>
      <c r="C2342" s="757"/>
      <c r="D2342" s="757"/>
      <c r="E2342" s="757"/>
      <c r="F2342" s="757"/>
      <c r="G2342" s="758"/>
      <c r="H2342" s="759"/>
      <c r="I2342" s="527"/>
      <c r="J2342" s="527"/>
      <c r="K2342" s="526"/>
    </row>
    <row r="2343" spans="1:12" x14ac:dyDescent="0.2">
      <c r="A2343" s="753"/>
      <c r="B2343" s="753"/>
      <c r="C2343" s="753"/>
      <c r="D2343" s="753" t="s">
        <v>1068</v>
      </c>
      <c r="E2343" s="753"/>
      <c r="F2343" s="753"/>
      <c r="G2343" s="754"/>
      <c r="H2343" s="755"/>
      <c r="I2343" s="756"/>
      <c r="J2343" s="756"/>
      <c r="K2343" s="526"/>
    </row>
    <row r="2344" spans="1:12" x14ac:dyDescent="0.2">
      <c r="A2344" s="753"/>
      <c r="B2344" s="753"/>
      <c r="C2344" s="753"/>
      <c r="D2344" s="753"/>
      <c r="E2344" s="753"/>
      <c r="F2344" s="753"/>
      <c r="G2344" s="754"/>
      <c r="H2344" s="755"/>
      <c r="I2344" s="756"/>
      <c r="J2344" s="756"/>
      <c r="K2344" s="526"/>
    </row>
    <row r="2345" spans="1:12" x14ac:dyDescent="0.2">
      <c r="A2345" s="1191" t="s">
        <v>354</v>
      </c>
      <c r="B2345" s="1191"/>
      <c r="C2345" s="1191"/>
      <c r="D2345" s="1191"/>
      <c r="E2345" s="1191"/>
      <c r="F2345" s="1191"/>
      <c r="G2345" s="1191"/>
      <c r="H2345" s="1191"/>
      <c r="I2345" s="1191"/>
      <c r="J2345" s="1191"/>
      <c r="K2345" s="1191"/>
    </row>
    <row r="2346" spans="1:12" x14ac:dyDescent="0.2">
      <c r="A2346" s="757"/>
      <c r="B2346" s="757"/>
      <c r="C2346" s="757"/>
      <c r="D2346" s="757"/>
      <c r="E2346" s="757"/>
      <c r="F2346" s="757"/>
      <c r="G2346" s="758"/>
      <c r="H2346" s="759"/>
      <c r="I2346" s="527"/>
      <c r="J2346" s="527"/>
      <c r="K2346" s="526"/>
    </row>
    <row r="2347" spans="1:12" ht="15" x14ac:dyDescent="0.25">
      <c r="A2347" s="159"/>
      <c r="B2347" s="402"/>
      <c r="C2347" s="159"/>
      <c r="D2347" s="159" t="s">
        <v>1069</v>
      </c>
      <c r="E2347" s="159"/>
      <c r="F2347" s="159"/>
      <c r="G2347" s="121"/>
      <c r="H2347" s="752"/>
      <c r="I2347" s="141"/>
      <c r="J2347" s="141"/>
      <c r="K2347" s="526"/>
    </row>
    <row r="2348" spans="1:12" x14ac:dyDescent="0.2">
      <c r="A2348" s="757"/>
      <c r="B2348" s="757"/>
      <c r="C2348" s="757"/>
      <c r="D2348" s="757"/>
      <c r="E2348" s="757"/>
      <c r="F2348" s="757"/>
      <c r="G2348" s="758"/>
      <c r="H2348" s="759"/>
      <c r="I2348" s="527"/>
      <c r="J2348" s="527"/>
      <c r="K2348" s="526"/>
    </row>
    <row r="2349" spans="1:12" ht="15" x14ac:dyDescent="0.25">
      <c r="A2349" s="58"/>
      <c r="B2349" s="58"/>
      <c r="C2349" s="58"/>
      <c r="D2349" s="58"/>
      <c r="E2349" s="58"/>
      <c r="F2349" s="58"/>
      <c r="G2349" s="750"/>
      <c r="H2349" s="751"/>
      <c r="I2349" s="159" t="s">
        <v>773</v>
      </c>
      <c r="J2349" s="59"/>
      <c r="K2349" s="59"/>
    </row>
    <row r="2350" spans="1:12" ht="15" x14ac:dyDescent="0.25">
      <c r="A2350" s="159"/>
      <c r="B2350" s="402"/>
      <c r="C2350" s="159"/>
      <c r="D2350" s="159"/>
      <c r="E2350" s="159"/>
      <c r="F2350" s="159"/>
      <c r="G2350" s="121"/>
      <c r="H2350" s="752"/>
      <c r="I2350" s="141"/>
      <c r="J2350" s="760" t="s">
        <v>774</v>
      </c>
      <c r="K2350" s="526"/>
    </row>
    <row r="2351" spans="1:12" x14ac:dyDescent="0.2">
      <c r="A2351" s="1192"/>
      <c r="B2351" s="1192"/>
      <c r="C2351" s="1192"/>
      <c r="D2351" s="1192"/>
      <c r="E2351" s="1192"/>
      <c r="F2351" s="1192"/>
      <c r="G2351" s="1192"/>
      <c r="H2351" s="1192"/>
      <c r="I2351" s="1192"/>
      <c r="J2351" s="1192"/>
      <c r="K2351" s="526"/>
    </row>
    <row r="2352" spans="1:12" ht="15" x14ac:dyDescent="0.25">
      <c r="A2352" s="159"/>
      <c r="B2352" s="402"/>
      <c r="C2352" s="159" t="s">
        <v>1088</v>
      </c>
      <c r="D2352" s="402"/>
      <c r="E2352" s="402"/>
      <c r="F2352" s="402"/>
      <c r="G2352" s="402"/>
      <c r="H2352" s="402"/>
      <c r="J2352" s="159" t="s">
        <v>775</v>
      </c>
      <c r="K2352" s="761"/>
    </row>
    <row r="2353" spans="1:11" ht="15" x14ac:dyDescent="0.25">
      <c r="A2353" s="159"/>
      <c r="B2353" s="402"/>
      <c r="C2353" s="159" t="s">
        <v>1089</v>
      </c>
      <c r="D2353" s="159"/>
      <c r="E2353" s="159"/>
      <c r="F2353" s="159"/>
      <c r="G2353" s="159"/>
      <c r="H2353" s="159"/>
      <c r="J2353" s="1118"/>
      <c r="K2353" s="761"/>
    </row>
    <row r="2354" spans="1:11" ht="15" x14ac:dyDescent="0.25">
      <c r="A2354" s="159"/>
      <c r="B2354" s="402"/>
      <c r="C2354" s="159" t="s">
        <v>776</v>
      </c>
      <c r="D2354" s="159"/>
      <c r="E2354" s="159"/>
      <c r="F2354" s="159"/>
      <c r="G2354" s="159"/>
      <c r="H2354" s="760"/>
      <c r="K2354" s="761"/>
    </row>
    <row r="2355" spans="1:11" ht="15" x14ac:dyDescent="0.25">
      <c r="A2355" s="159"/>
      <c r="B2355" s="402"/>
      <c r="C2355" s="159"/>
      <c r="D2355" s="159"/>
      <c r="E2355" s="159"/>
      <c r="F2355" s="159"/>
      <c r="G2355" s="159"/>
      <c r="H2355" s="159"/>
      <c r="I2355" s="760"/>
    </row>
    <row r="2356" spans="1:11" ht="15" x14ac:dyDescent="0.25">
      <c r="A2356"/>
      <c r="B2356" s="140"/>
      <c r="C2356" s="140"/>
      <c r="D2356" s="140"/>
      <c r="E2356" s="140"/>
      <c r="F2356" s="140"/>
      <c r="G2356" s="140"/>
      <c r="H2356" s="142"/>
      <c r="I2356" s="141"/>
      <c r="J2356" s="760"/>
      <c r="K2356" s="526"/>
    </row>
    <row r="2357" spans="1:11" x14ac:dyDescent="0.2">
      <c r="A2357" s="762"/>
      <c r="B2357" s="762"/>
      <c r="C2357" s="762"/>
      <c r="D2357" s="762"/>
      <c r="E2357" s="762"/>
      <c r="F2357" s="762"/>
      <c r="G2357" s="762"/>
      <c r="H2357" s="763"/>
      <c r="I2357" s="526"/>
      <c r="J2357" s="159"/>
      <c r="K2357" s="526"/>
    </row>
    <row r="2358" spans="1:11" x14ac:dyDescent="0.2">
      <c r="A2358" s="462"/>
      <c r="B2358" s="462"/>
      <c r="C2358" s="21"/>
      <c r="D2358" s="462"/>
    </row>
    <row r="2359" spans="1:11" x14ac:dyDescent="0.2">
      <c r="A2359" s="462"/>
      <c r="B2359" s="462"/>
      <c r="C2359" s="21"/>
      <c r="D2359" s="462"/>
    </row>
    <row r="2360" spans="1:11" x14ac:dyDescent="0.2">
      <c r="A2360" s="462"/>
      <c r="B2360" s="462"/>
      <c r="C2360" s="21"/>
      <c r="D2360" s="462"/>
    </row>
    <row r="2361" spans="1:11" x14ac:dyDescent="0.2">
      <c r="A2361" s="462"/>
      <c r="B2361" s="462"/>
      <c r="C2361" s="21"/>
      <c r="D2361" s="462"/>
    </row>
    <row r="2362" spans="1:11" x14ac:dyDescent="0.2">
      <c r="A2362" s="462"/>
      <c r="B2362" s="462"/>
      <c r="C2362" s="21"/>
      <c r="D2362" s="462"/>
    </row>
    <row r="2363" spans="1:11" x14ac:dyDescent="0.2">
      <c r="A2363" s="462"/>
      <c r="B2363" s="462"/>
      <c r="C2363" s="21"/>
      <c r="D2363" s="462"/>
    </row>
    <row r="2364" spans="1:11" x14ac:dyDescent="0.2">
      <c r="A2364" s="462"/>
      <c r="B2364" s="462"/>
      <c r="C2364" s="21"/>
      <c r="D2364" s="462"/>
    </row>
    <row r="2365" spans="1:11" x14ac:dyDescent="0.2">
      <c r="A2365" s="462"/>
      <c r="B2365" s="462"/>
      <c r="C2365" s="21"/>
      <c r="D2365" s="462"/>
    </row>
    <row r="2366" spans="1:11" x14ac:dyDescent="0.2">
      <c r="A2366" s="462"/>
      <c r="B2366" s="462"/>
      <c r="C2366" s="21"/>
      <c r="D2366" s="462"/>
    </row>
    <row r="2367" spans="1:11" x14ac:dyDescent="0.2">
      <c r="A2367" s="462"/>
      <c r="B2367" s="462"/>
      <c r="C2367" s="21"/>
      <c r="D2367" s="462"/>
    </row>
    <row r="2368" spans="1:11" x14ac:dyDescent="0.2">
      <c r="A2368" s="462"/>
      <c r="B2368" s="462"/>
      <c r="C2368" s="21"/>
      <c r="D2368" s="462"/>
    </row>
    <row r="2369" spans="1:4" x14ac:dyDescent="0.2">
      <c r="A2369" s="462"/>
      <c r="B2369" s="462"/>
      <c r="C2369" s="21"/>
      <c r="D2369" s="462"/>
    </row>
    <row r="2370" spans="1:4" x14ac:dyDescent="0.2">
      <c r="A2370" s="462"/>
      <c r="B2370" s="462"/>
      <c r="C2370" s="21"/>
      <c r="D2370" s="462"/>
    </row>
    <row r="2371" spans="1:4" x14ac:dyDescent="0.2">
      <c r="A2371" s="462"/>
      <c r="B2371" s="462"/>
      <c r="C2371" s="21"/>
      <c r="D2371" s="462"/>
    </row>
    <row r="2372" spans="1:4" x14ac:dyDescent="0.2">
      <c r="A2372" s="462"/>
      <c r="B2372" s="462"/>
      <c r="C2372" s="21"/>
      <c r="D2372" s="462"/>
    </row>
    <row r="2373" spans="1:4" x14ac:dyDescent="0.2">
      <c r="A2373" s="462"/>
      <c r="B2373" s="462"/>
      <c r="C2373" s="21"/>
      <c r="D2373" s="462"/>
    </row>
    <row r="2374" spans="1:4" x14ac:dyDescent="0.2">
      <c r="A2374" s="462"/>
      <c r="B2374" s="462"/>
      <c r="C2374" s="21"/>
      <c r="D2374" s="462"/>
    </row>
    <row r="2375" spans="1:4" x14ac:dyDescent="0.2">
      <c r="A2375" s="462"/>
      <c r="B2375" s="462"/>
      <c r="C2375" s="21"/>
      <c r="D2375" s="462"/>
    </row>
    <row r="2376" spans="1:4" x14ac:dyDescent="0.2">
      <c r="A2376" s="462"/>
      <c r="B2376" s="462"/>
      <c r="C2376" s="21"/>
      <c r="D2376" s="462"/>
    </row>
    <row r="2377" spans="1:4" x14ac:dyDescent="0.2">
      <c r="A2377" s="462"/>
      <c r="B2377" s="462"/>
      <c r="C2377" s="21"/>
      <c r="D2377" s="462"/>
    </row>
    <row r="2378" spans="1:4" x14ac:dyDescent="0.2">
      <c r="A2378" s="462"/>
      <c r="B2378" s="462"/>
      <c r="C2378" s="21"/>
      <c r="D2378" s="462"/>
    </row>
    <row r="2379" spans="1:4" x14ac:dyDescent="0.2">
      <c r="A2379" s="462"/>
      <c r="B2379" s="462"/>
      <c r="C2379" s="21"/>
      <c r="D2379" s="462"/>
    </row>
    <row r="2380" spans="1:4" x14ac:dyDescent="0.2">
      <c r="A2380" s="462"/>
      <c r="B2380" s="462"/>
      <c r="C2380" s="21"/>
      <c r="D2380" s="462"/>
    </row>
    <row r="2381" spans="1:4" x14ac:dyDescent="0.2">
      <c r="A2381" s="462"/>
      <c r="B2381" s="462"/>
      <c r="C2381" s="21"/>
      <c r="D2381" s="462"/>
    </row>
    <row r="2382" spans="1:4" x14ac:dyDescent="0.2">
      <c r="A2382" s="462"/>
      <c r="B2382" s="462"/>
      <c r="C2382" s="21"/>
      <c r="D2382" s="462"/>
    </row>
    <row r="2383" spans="1:4" x14ac:dyDescent="0.2">
      <c r="A2383" s="462"/>
      <c r="B2383" s="462"/>
      <c r="C2383" s="21"/>
      <c r="D2383" s="462"/>
    </row>
    <row r="2384" spans="1:4" x14ac:dyDescent="0.2">
      <c r="A2384" s="462"/>
      <c r="B2384" s="462"/>
      <c r="C2384" s="21"/>
      <c r="D2384" s="462"/>
    </row>
    <row r="2385" spans="1:4" x14ac:dyDescent="0.2">
      <c r="A2385" s="462"/>
      <c r="B2385" s="462"/>
      <c r="C2385" s="21"/>
      <c r="D2385" s="462"/>
    </row>
    <row r="2386" spans="1:4" x14ac:dyDescent="0.2">
      <c r="A2386" s="462"/>
      <c r="B2386" s="462"/>
      <c r="C2386" s="21"/>
      <c r="D2386" s="462"/>
    </row>
    <row r="2387" spans="1:4" x14ac:dyDescent="0.2">
      <c r="A2387" s="462"/>
      <c r="B2387" s="462"/>
      <c r="C2387" s="21"/>
      <c r="D2387" s="462"/>
    </row>
    <row r="2388" spans="1:4" x14ac:dyDescent="0.2">
      <c r="A2388" s="462"/>
      <c r="B2388" s="462"/>
      <c r="C2388" s="21"/>
      <c r="D2388" s="462"/>
    </row>
    <row r="2389" spans="1:4" x14ac:dyDescent="0.2">
      <c r="A2389" s="462"/>
      <c r="B2389" s="462"/>
      <c r="C2389" s="21"/>
      <c r="D2389" s="462"/>
    </row>
    <row r="2390" spans="1:4" x14ac:dyDescent="0.2">
      <c r="A2390" s="462"/>
      <c r="B2390" s="462"/>
      <c r="C2390" s="21"/>
      <c r="D2390" s="462"/>
    </row>
    <row r="2391" spans="1:4" x14ac:dyDescent="0.2">
      <c r="A2391" s="462"/>
      <c r="B2391" s="462"/>
      <c r="C2391" s="21"/>
      <c r="D2391" s="462"/>
    </row>
    <row r="2392" spans="1:4" x14ac:dyDescent="0.2">
      <c r="A2392" s="462"/>
      <c r="B2392" s="462"/>
      <c r="C2392" s="21"/>
      <c r="D2392" s="462"/>
    </row>
    <row r="2393" spans="1:4" x14ac:dyDescent="0.2">
      <c r="A2393" s="462"/>
      <c r="B2393" s="462"/>
      <c r="C2393" s="21"/>
      <c r="D2393" s="462"/>
    </row>
    <row r="2394" spans="1:4" x14ac:dyDescent="0.2">
      <c r="A2394" s="462"/>
      <c r="B2394" s="462"/>
      <c r="C2394" s="21"/>
      <c r="D2394" s="462"/>
    </row>
    <row r="2395" spans="1:4" x14ac:dyDescent="0.2">
      <c r="A2395" s="462"/>
      <c r="B2395" s="462"/>
      <c r="C2395" s="21"/>
      <c r="D2395" s="462"/>
    </row>
    <row r="2396" spans="1:4" x14ac:dyDescent="0.2">
      <c r="A2396" s="462"/>
      <c r="B2396" s="462"/>
      <c r="C2396" s="21"/>
      <c r="D2396" s="462"/>
    </row>
    <row r="2397" spans="1:4" x14ac:dyDescent="0.2">
      <c r="A2397" s="462"/>
      <c r="B2397" s="462"/>
      <c r="C2397" s="21"/>
      <c r="D2397" s="462"/>
    </row>
    <row r="2398" spans="1:4" x14ac:dyDescent="0.2">
      <c r="A2398" s="462"/>
      <c r="B2398" s="462"/>
      <c r="C2398" s="21"/>
      <c r="D2398" s="462"/>
    </row>
    <row r="2399" spans="1:4" x14ac:dyDescent="0.2">
      <c r="A2399" s="462"/>
      <c r="B2399" s="462"/>
      <c r="C2399" s="21"/>
      <c r="D2399" s="462"/>
    </row>
    <row r="2400" spans="1:4" x14ac:dyDescent="0.2">
      <c r="A2400" s="462"/>
      <c r="B2400" s="462"/>
      <c r="C2400" s="21"/>
      <c r="D2400" s="462"/>
    </row>
    <row r="2401" spans="1:4" x14ac:dyDescent="0.2">
      <c r="A2401" s="462"/>
      <c r="B2401" s="462"/>
      <c r="C2401" s="21"/>
      <c r="D2401" s="462"/>
    </row>
    <row r="2402" spans="1:4" x14ac:dyDescent="0.2">
      <c r="A2402" s="462"/>
      <c r="B2402" s="462"/>
      <c r="C2402" s="21"/>
      <c r="D2402" s="462"/>
    </row>
    <row r="2403" spans="1:4" x14ac:dyDescent="0.2">
      <c r="A2403" s="462"/>
      <c r="B2403" s="462"/>
      <c r="C2403" s="21"/>
      <c r="D2403" s="462"/>
    </row>
    <row r="2404" spans="1:4" x14ac:dyDescent="0.2">
      <c r="A2404" s="462"/>
      <c r="B2404" s="462"/>
      <c r="C2404" s="21"/>
      <c r="D2404" s="462"/>
    </row>
    <row r="2405" spans="1:4" x14ac:dyDescent="0.2">
      <c r="A2405" s="462"/>
      <c r="B2405" s="462"/>
      <c r="C2405" s="21"/>
      <c r="D2405" s="462"/>
    </row>
    <row r="2406" spans="1:4" x14ac:dyDescent="0.2">
      <c r="A2406" s="462"/>
      <c r="B2406" s="462"/>
      <c r="C2406" s="21"/>
      <c r="D2406" s="462"/>
    </row>
    <row r="2407" spans="1:4" x14ac:dyDescent="0.2">
      <c r="A2407" s="462"/>
      <c r="B2407" s="462"/>
      <c r="C2407" s="21"/>
      <c r="D2407" s="462"/>
    </row>
    <row r="2408" spans="1:4" x14ac:dyDescent="0.2">
      <c r="A2408" s="462"/>
      <c r="B2408" s="462"/>
      <c r="C2408" s="21"/>
      <c r="D2408" s="462"/>
    </row>
    <row r="2409" spans="1:4" x14ac:dyDescent="0.2">
      <c r="A2409" s="462"/>
      <c r="B2409" s="462"/>
      <c r="C2409" s="21"/>
      <c r="D2409" s="462"/>
    </row>
    <row r="2410" spans="1:4" x14ac:dyDescent="0.2">
      <c r="A2410" s="462"/>
      <c r="B2410" s="462"/>
      <c r="C2410" s="21"/>
      <c r="D2410" s="462"/>
    </row>
    <row r="2411" spans="1:4" x14ac:dyDescent="0.2">
      <c r="A2411" s="462"/>
      <c r="B2411" s="462"/>
      <c r="C2411" s="21"/>
      <c r="D2411" s="462"/>
    </row>
    <row r="2412" spans="1:4" x14ac:dyDescent="0.2">
      <c r="A2412" s="462"/>
      <c r="B2412" s="462"/>
      <c r="C2412" s="21"/>
      <c r="D2412" s="462"/>
    </row>
    <row r="2413" spans="1:4" x14ac:dyDescent="0.2">
      <c r="A2413" s="462"/>
      <c r="B2413" s="462"/>
      <c r="C2413" s="21"/>
      <c r="D2413" s="462"/>
    </row>
    <row r="2414" spans="1:4" x14ac:dyDescent="0.2">
      <c r="A2414" s="462"/>
      <c r="B2414" s="462"/>
      <c r="C2414" s="21"/>
      <c r="D2414" s="462"/>
    </row>
    <row r="2415" spans="1:4" x14ac:dyDescent="0.2">
      <c r="A2415" s="462"/>
      <c r="B2415" s="462"/>
      <c r="C2415" s="21"/>
      <c r="D2415" s="462"/>
    </row>
    <row r="2416" spans="1:4" x14ac:dyDescent="0.2">
      <c r="A2416" s="462"/>
      <c r="B2416" s="462"/>
      <c r="C2416" s="21"/>
      <c r="D2416" s="462"/>
    </row>
    <row r="2417" spans="1:4" x14ac:dyDescent="0.2">
      <c r="A2417" s="462"/>
      <c r="B2417" s="462"/>
      <c r="C2417" s="21"/>
      <c r="D2417" s="462"/>
    </row>
    <row r="2418" spans="1:4" x14ac:dyDescent="0.2">
      <c r="A2418" s="462"/>
      <c r="B2418" s="462"/>
      <c r="C2418" s="21"/>
      <c r="D2418" s="462"/>
    </row>
    <row r="2419" spans="1:4" x14ac:dyDescent="0.2">
      <c r="A2419" s="462"/>
      <c r="B2419" s="462"/>
      <c r="C2419" s="21"/>
      <c r="D2419" s="462"/>
    </row>
    <row r="2420" spans="1:4" x14ac:dyDescent="0.2">
      <c r="A2420" s="462"/>
      <c r="B2420" s="462"/>
      <c r="C2420" s="21"/>
      <c r="D2420" s="462"/>
    </row>
    <row r="2421" spans="1:4" x14ac:dyDescent="0.2">
      <c r="A2421" s="462"/>
      <c r="B2421" s="462"/>
      <c r="C2421" s="21"/>
      <c r="D2421" s="462"/>
    </row>
    <row r="2422" spans="1:4" x14ac:dyDescent="0.2">
      <c r="A2422" s="462"/>
      <c r="B2422" s="462"/>
      <c r="C2422" s="21"/>
      <c r="D2422" s="462"/>
    </row>
    <row r="2423" spans="1:4" x14ac:dyDescent="0.2">
      <c r="A2423" s="462"/>
      <c r="B2423" s="462"/>
      <c r="C2423" s="21"/>
      <c r="D2423" s="462"/>
    </row>
    <row r="2424" spans="1:4" x14ac:dyDescent="0.2">
      <c r="A2424" s="462"/>
      <c r="B2424" s="462"/>
      <c r="C2424" s="21"/>
      <c r="D2424" s="462"/>
    </row>
    <row r="2425" spans="1:4" x14ac:dyDescent="0.2">
      <c r="A2425" s="462"/>
      <c r="B2425" s="462"/>
      <c r="C2425" s="21"/>
      <c r="D2425" s="462"/>
    </row>
    <row r="2426" spans="1:4" x14ac:dyDescent="0.2">
      <c r="A2426" s="462"/>
      <c r="B2426" s="462"/>
      <c r="C2426" s="21"/>
      <c r="D2426" s="462"/>
    </row>
    <row r="2427" spans="1:4" x14ac:dyDescent="0.2">
      <c r="A2427" s="462"/>
      <c r="B2427" s="462"/>
      <c r="C2427" s="21"/>
      <c r="D2427" s="462"/>
    </row>
    <row r="2428" spans="1:4" x14ac:dyDescent="0.2">
      <c r="A2428" s="462"/>
      <c r="B2428" s="462"/>
      <c r="C2428" s="21"/>
      <c r="D2428" s="462"/>
    </row>
    <row r="2429" spans="1:4" x14ac:dyDescent="0.2">
      <c r="A2429" s="462"/>
      <c r="B2429" s="462"/>
      <c r="C2429" s="21"/>
      <c r="D2429" s="462"/>
    </row>
    <row r="2430" spans="1:4" x14ac:dyDescent="0.2">
      <c r="A2430" s="462"/>
      <c r="B2430" s="462"/>
      <c r="C2430" s="21"/>
      <c r="D2430" s="462"/>
    </row>
    <row r="2431" spans="1:4" x14ac:dyDescent="0.2">
      <c r="A2431" s="462"/>
      <c r="B2431" s="462"/>
      <c r="C2431" s="21"/>
      <c r="D2431" s="462"/>
    </row>
    <row r="2432" spans="1:4" x14ac:dyDescent="0.2">
      <c r="A2432" s="462"/>
      <c r="B2432" s="462"/>
      <c r="C2432" s="21"/>
      <c r="D2432" s="462"/>
    </row>
    <row r="2433" spans="1:4" x14ac:dyDescent="0.2">
      <c r="A2433" s="462"/>
      <c r="B2433" s="462"/>
      <c r="C2433" s="21"/>
      <c r="D2433" s="462"/>
    </row>
    <row r="2434" spans="1:4" x14ac:dyDescent="0.2">
      <c r="A2434" s="462"/>
      <c r="B2434" s="462"/>
      <c r="C2434" s="21"/>
      <c r="D2434" s="462"/>
    </row>
    <row r="2435" spans="1:4" x14ac:dyDescent="0.2">
      <c r="A2435" s="462"/>
      <c r="B2435" s="462"/>
      <c r="C2435" s="21"/>
      <c r="D2435" s="462"/>
    </row>
    <row r="2436" spans="1:4" x14ac:dyDescent="0.2">
      <c r="A2436" s="462"/>
      <c r="B2436" s="462"/>
      <c r="C2436" s="21"/>
      <c r="D2436" s="462"/>
    </row>
    <row r="2437" spans="1:4" x14ac:dyDescent="0.2">
      <c r="A2437" s="462"/>
      <c r="B2437" s="462"/>
      <c r="C2437" s="21"/>
      <c r="D2437" s="462"/>
    </row>
    <row r="2438" spans="1:4" x14ac:dyDescent="0.2">
      <c r="A2438" s="462"/>
      <c r="B2438" s="462"/>
      <c r="C2438" s="21"/>
      <c r="D2438" s="462"/>
    </row>
    <row r="2439" spans="1:4" x14ac:dyDescent="0.2">
      <c r="A2439" s="462"/>
      <c r="B2439" s="462"/>
      <c r="C2439" s="21"/>
      <c r="D2439" s="462"/>
    </row>
    <row r="2440" spans="1:4" x14ac:dyDescent="0.2">
      <c r="A2440" s="462"/>
      <c r="B2440" s="462"/>
      <c r="C2440" s="21"/>
      <c r="D2440" s="462"/>
    </row>
    <row r="2441" spans="1:4" x14ac:dyDescent="0.2">
      <c r="A2441" s="462"/>
      <c r="B2441" s="462"/>
      <c r="C2441" s="21"/>
      <c r="D2441" s="462"/>
    </row>
    <row r="2442" spans="1:4" x14ac:dyDescent="0.2">
      <c r="A2442" s="462"/>
      <c r="B2442" s="462"/>
      <c r="C2442" s="21"/>
      <c r="D2442" s="462"/>
    </row>
    <row r="2443" spans="1:4" x14ac:dyDescent="0.2">
      <c r="A2443" s="462"/>
      <c r="B2443" s="462"/>
      <c r="C2443" s="21"/>
      <c r="D2443" s="462"/>
    </row>
    <row r="2444" spans="1:4" x14ac:dyDescent="0.2">
      <c r="A2444" s="462"/>
      <c r="B2444" s="462"/>
      <c r="C2444" s="21"/>
      <c r="D2444" s="462"/>
    </row>
    <row r="2445" spans="1:4" x14ac:dyDescent="0.2">
      <c r="A2445" s="462"/>
      <c r="B2445" s="462"/>
      <c r="C2445" s="21"/>
      <c r="D2445" s="462"/>
    </row>
    <row r="2446" spans="1:4" x14ac:dyDescent="0.2">
      <c r="A2446" s="462"/>
      <c r="B2446" s="462"/>
      <c r="C2446" s="21"/>
      <c r="D2446" s="462"/>
    </row>
    <row r="2447" spans="1:4" x14ac:dyDescent="0.2">
      <c r="A2447" s="462"/>
      <c r="B2447" s="462"/>
      <c r="C2447" s="21"/>
      <c r="D2447" s="462"/>
    </row>
    <row r="2448" spans="1:4" x14ac:dyDescent="0.2">
      <c r="A2448" s="462"/>
      <c r="B2448" s="462"/>
      <c r="C2448" s="21"/>
      <c r="D2448" s="462"/>
    </row>
    <row r="2449" spans="1:4" x14ac:dyDescent="0.2">
      <c r="A2449" s="462"/>
      <c r="B2449" s="462"/>
      <c r="C2449" s="21"/>
      <c r="D2449" s="462"/>
    </row>
    <row r="2450" spans="1:4" x14ac:dyDescent="0.2">
      <c r="A2450" s="462"/>
      <c r="B2450" s="462"/>
      <c r="C2450" s="21"/>
      <c r="D2450" s="462"/>
    </row>
    <row r="2451" spans="1:4" x14ac:dyDescent="0.2">
      <c r="A2451" s="462"/>
      <c r="B2451" s="462"/>
      <c r="C2451" s="21"/>
      <c r="D2451" s="462"/>
    </row>
    <row r="2452" spans="1:4" x14ac:dyDescent="0.2">
      <c r="A2452" s="462"/>
      <c r="B2452" s="462"/>
      <c r="C2452" s="21"/>
      <c r="D2452" s="462"/>
    </row>
    <row r="2453" spans="1:4" x14ac:dyDescent="0.2">
      <c r="A2453" s="462"/>
      <c r="B2453" s="462"/>
      <c r="C2453" s="21"/>
      <c r="D2453" s="462"/>
    </row>
    <row r="2454" spans="1:4" x14ac:dyDescent="0.2">
      <c r="A2454" s="462"/>
      <c r="B2454" s="462"/>
      <c r="C2454" s="21"/>
      <c r="D2454" s="462"/>
    </row>
    <row r="2455" spans="1:4" x14ac:dyDescent="0.2">
      <c r="A2455" s="462"/>
      <c r="B2455" s="462"/>
      <c r="C2455" s="21"/>
      <c r="D2455" s="462"/>
    </row>
    <row r="2456" spans="1:4" x14ac:dyDescent="0.2">
      <c r="A2456" s="462"/>
      <c r="B2456" s="462"/>
      <c r="C2456" s="21"/>
      <c r="D2456" s="462"/>
    </row>
    <row r="2457" spans="1:4" x14ac:dyDescent="0.2">
      <c r="A2457" s="462"/>
      <c r="B2457" s="462"/>
      <c r="C2457" s="21"/>
      <c r="D2457" s="462"/>
    </row>
    <row r="2458" spans="1:4" x14ac:dyDescent="0.2">
      <c r="A2458" s="462"/>
      <c r="B2458" s="462"/>
      <c r="C2458" s="21"/>
      <c r="D2458" s="462"/>
    </row>
    <row r="2459" spans="1:4" x14ac:dyDescent="0.2">
      <c r="A2459" s="462"/>
      <c r="B2459" s="462"/>
      <c r="C2459" s="21"/>
      <c r="D2459" s="462"/>
    </row>
    <row r="2460" spans="1:4" x14ac:dyDescent="0.2">
      <c r="A2460" s="462"/>
      <c r="B2460" s="462"/>
      <c r="C2460" s="21"/>
      <c r="D2460" s="462"/>
    </row>
    <row r="2461" spans="1:4" x14ac:dyDescent="0.2">
      <c r="A2461" s="462"/>
      <c r="B2461" s="462"/>
      <c r="C2461" s="21"/>
      <c r="D2461" s="462"/>
    </row>
    <row r="2462" spans="1:4" x14ac:dyDescent="0.2">
      <c r="A2462" s="462"/>
      <c r="B2462" s="462"/>
      <c r="C2462" s="21"/>
      <c r="D2462" s="462"/>
    </row>
    <row r="2463" spans="1:4" x14ac:dyDescent="0.2">
      <c r="A2463" s="462"/>
      <c r="B2463" s="462"/>
      <c r="C2463" s="21"/>
      <c r="D2463" s="462"/>
    </row>
    <row r="2464" spans="1:4" x14ac:dyDescent="0.2">
      <c r="A2464" s="462"/>
      <c r="B2464" s="462"/>
      <c r="C2464" s="21"/>
      <c r="D2464" s="462"/>
    </row>
    <row r="2465" spans="1:4" x14ac:dyDescent="0.2">
      <c r="A2465" s="462"/>
      <c r="B2465" s="462"/>
      <c r="C2465" s="21"/>
      <c r="D2465" s="462"/>
    </row>
    <row r="2466" spans="1:4" x14ac:dyDescent="0.2">
      <c r="A2466" s="462"/>
      <c r="B2466" s="462"/>
      <c r="C2466" s="21"/>
      <c r="D2466" s="462"/>
    </row>
    <row r="2467" spans="1:4" x14ac:dyDescent="0.2">
      <c r="A2467" s="462"/>
      <c r="B2467" s="462"/>
      <c r="C2467" s="21"/>
      <c r="D2467" s="462"/>
    </row>
    <row r="2468" spans="1:4" x14ac:dyDescent="0.2">
      <c r="A2468" s="462"/>
      <c r="B2468" s="462"/>
      <c r="C2468" s="21"/>
      <c r="D2468" s="462"/>
    </row>
    <row r="2469" spans="1:4" x14ac:dyDescent="0.2">
      <c r="A2469" s="462"/>
      <c r="B2469" s="462"/>
      <c r="C2469" s="21"/>
      <c r="D2469" s="462"/>
    </row>
    <row r="2470" spans="1:4" x14ac:dyDescent="0.2">
      <c r="A2470" s="462"/>
      <c r="B2470" s="462"/>
      <c r="C2470" s="21"/>
      <c r="D2470" s="462"/>
    </row>
    <row r="2471" spans="1:4" x14ac:dyDescent="0.2">
      <c r="A2471" s="462"/>
      <c r="B2471" s="462"/>
      <c r="C2471" s="21"/>
      <c r="D2471" s="462"/>
    </row>
    <row r="2472" spans="1:4" x14ac:dyDescent="0.2">
      <c r="A2472" s="462"/>
      <c r="B2472" s="462"/>
      <c r="C2472" s="21"/>
      <c r="D2472" s="462"/>
    </row>
    <row r="2473" spans="1:4" x14ac:dyDescent="0.2">
      <c r="A2473" s="462"/>
      <c r="B2473" s="462"/>
      <c r="C2473" s="21"/>
      <c r="D2473" s="462"/>
    </row>
    <row r="2474" spans="1:4" x14ac:dyDescent="0.2">
      <c r="A2474" s="462"/>
      <c r="B2474" s="462"/>
      <c r="C2474" s="21"/>
      <c r="D2474" s="462"/>
    </row>
    <row r="2475" spans="1:4" x14ac:dyDescent="0.2">
      <c r="A2475" s="462"/>
      <c r="B2475" s="462"/>
      <c r="C2475" s="21"/>
      <c r="D2475" s="462"/>
    </row>
    <row r="2476" spans="1:4" x14ac:dyDescent="0.2">
      <c r="A2476" s="462"/>
      <c r="B2476" s="462"/>
      <c r="C2476" s="21"/>
      <c r="D2476" s="462"/>
    </row>
    <row r="2477" spans="1:4" x14ac:dyDescent="0.2">
      <c r="A2477" s="462"/>
      <c r="B2477" s="462"/>
      <c r="C2477" s="21"/>
      <c r="D2477" s="462"/>
    </row>
    <row r="2478" spans="1:4" x14ac:dyDescent="0.2">
      <c r="A2478" s="462"/>
      <c r="B2478" s="462"/>
      <c r="C2478" s="21"/>
      <c r="D2478" s="462"/>
    </row>
    <row r="2479" spans="1:4" x14ac:dyDescent="0.2">
      <c r="A2479" s="462"/>
      <c r="B2479" s="462"/>
      <c r="C2479" s="21"/>
      <c r="D2479" s="462"/>
    </row>
    <row r="2480" spans="1:4" x14ac:dyDescent="0.2">
      <c r="A2480" s="462"/>
      <c r="B2480" s="462"/>
      <c r="C2480" s="21"/>
      <c r="D2480" s="462"/>
    </row>
    <row r="2481" spans="1:4" x14ac:dyDescent="0.2">
      <c r="A2481" s="462"/>
      <c r="B2481" s="462"/>
      <c r="C2481" s="21"/>
      <c r="D2481" s="462"/>
    </row>
    <row r="2482" spans="1:4" x14ac:dyDescent="0.2">
      <c r="A2482" s="462"/>
      <c r="B2482" s="462"/>
      <c r="C2482" s="21"/>
      <c r="D2482" s="462"/>
    </row>
    <row r="2483" spans="1:4" x14ac:dyDescent="0.2">
      <c r="A2483" s="462"/>
      <c r="B2483" s="462"/>
      <c r="C2483" s="21"/>
      <c r="D2483" s="462"/>
    </row>
    <row r="2484" spans="1:4" x14ac:dyDescent="0.2">
      <c r="A2484" s="462"/>
      <c r="B2484" s="462"/>
      <c r="C2484" s="21"/>
      <c r="D2484" s="462"/>
    </row>
    <row r="2485" spans="1:4" x14ac:dyDescent="0.2">
      <c r="A2485" s="462"/>
      <c r="B2485" s="462"/>
      <c r="C2485" s="21"/>
      <c r="D2485" s="462"/>
    </row>
    <row r="2486" spans="1:4" x14ac:dyDescent="0.2">
      <c r="A2486" s="462"/>
      <c r="B2486" s="462"/>
      <c r="C2486" s="21"/>
      <c r="D2486" s="462"/>
    </row>
    <row r="2487" spans="1:4" x14ac:dyDescent="0.2">
      <c r="A2487" s="462"/>
      <c r="B2487" s="462"/>
      <c r="C2487" s="21"/>
      <c r="D2487" s="462"/>
    </row>
    <row r="2488" spans="1:4" x14ac:dyDescent="0.2">
      <c r="A2488" s="462"/>
      <c r="B2488" s="462"/>
      <c r="C2488" s="21"/>
      <c r="D2488" s="462"/>
    </row>
    <row r="2489" spans="1:4" x14ac:dyDescent="0.2">
      <c r="A2489" s="462"/>
      <c r="B2489" s="462"/>
      <c r="C2489" s="21"/>
      <c r="D2489" s="462"/>
    </row>
    <row r="2490" spans="1:4" x14ac:dyDescent="0.2">
      <c r="A2490" s="462"/>
      <c r="B2490" s="462"/>
      <c r="C2490" s="21"/>
      <c r="D2490" s="462"/>
    </row>
    <row r="2491" spans="1:4" x14ac:dyDescent="0.2">
      <c r="A2491" s="462"/>
      <c r="B2491" s="462"/>
      <c r="C2491" s="21"/>
      <c r="D2491" s="462"/>
    </row>
    <row r="2492" spans="1:4" x14ac:dyDescent="0.2">
      <c r="A2492" s="462"/>
      <c r="B2492" s="462"/>
      <c r="C2492" s="21"/>
      <c r="D2492" s="462"/>
    </row>
    <row r="2493" spans="1:4" x14ac:dyDescent="0.2">
      <c r="A2493" s="462"/>
      <c r="B2493" s="462"/>
      <c r="C2493" s="21"/>
      <c r="D2493" s="462"/>
    </row>
    <row r="2494" spans="1:4" x14ac:dyDescent="0.2">
      <c r="A2494" s="462"/>
      <c r="B2494" s="462"/>
      <c r="C2494" s="21"/>
      <c r="D2494" s="462"/>
    </row>
    <row r="2495" spans="1:4" x14ac:dyDescent="0.2">
      <c r="A2495" s="462"/>
      <c r="B2495" s="462"/>
      <c r="C2495" s="21"/>
      <c r="D2495" s="462"/>
    </row>
    <row r="2496" spans="1:4" x14ac:dyDescent="0.2">
      <c r="A2496" s="462"/>
      <c r="B2496" s="462"/>
      <c r="C2496" s="21"/>
      <c r="D2496" s="462"/>
    </row>
    <row r="2497" spans="1:4" x14ac:dyDescent="0.2">
      <c r="A2497" s="462"/>
      <c r="B2497" s="462"/>
      <c r="C2497" s="21"/>
      <c r="D2497" s="462"/>
    </row>
    <row r="2498" spans="1:4" x14ac:dyDescent="0.2">
      <c r="A2498" s="462"/>
      <c r="B2498" s="462"/>
      <c r="C2498" s="21"/>
      <c r="D2498" s="462"/>
    </row>
    <row r="2499" spans="1:4" x14ac:dyDescent="0.2">
      <c r="A2499" s="462"/>
      <c r="B2499" s="462"/>
      <c r="C2499" s="21"/>
      <c r="D2499" s="462"/>
    </row>
    <row r="2500" spans="1:4" x14ac:dyDescent="0.2">
      <c r="A2500" s="462"/>
      <c r="B2500" s="462"/>
      <c r="C2500" s="21"/>
      <c r="D2500" s="462"/>
    </row>
    <row r="2501" spans="1:4" x14ac:dyDescent="0.2">
      <c r="A2501" s="462"/>
      <c r="B2501" s="462"/>
      <c r="C2501" s="21"/>
      <c r="D2501" s="462"/>
    </row>
    <row r="2502" spans="1:4" x14ac:dyDescent="0.2">
      <c r="A2502" s="462"/>
      <c r="B2502" s="462"/>
      <c r="C2502" s="21"/>
      <c r="D2502" s="462"/>
    </row>
    <row r="2503" spans="1:4" x14ac:dyDescent="0.2">
      <c r="A2503" s="462"/>
      <c r="B2503" s="462"/>
      <c r="C2503" s="21"/>
      <c r="D2503" s="462"/>
    </row>
    <row r="2504" spans="1:4" x14ac:dyDescent="0.2">
      <c r="A2504" s="462"/>
      <c r="B2504" s="462"/>
      <c r="C2504" s="21"/>
      <c r="D2504" s="462"/>
    </row>
    <row r="2505" spans="1:4" x14ac:dyDescent="0.2">
      <c r="A2505" s="462"/>
      <c r="B2505" s="462"/>
      <c r="C2505" s="21"/>
      <c r="D2505" s="462"/>
    </row>
    <row r="2506" spans="1:4" x14ac:dyDescent="0.2">
      <c r="A2506" s="462"/>
      <c r="B2506" s="462"/>
      <c r="C2506" s="21"/>
      <c r="D2506" s="462"/>
    </row>
    <row r="2507" spans="1:4" x14ac:dyDescent="0.2">
      <c r="A2507" s="462"/>
      <c r="B2507" s="462"/>
      <c r="C2507" s="21"/>
      <c r="D2507" s="462"/>
    </row>
    <row r="2508" spans="1:4" x14ac:dyDescent="0.2">
      <c r="A2508" s="462"/>
      <c r="B2508" s="462"/>
      <c r="C2508" s="21"/>
      <c r="D2508" s="462"/>
    </row>
    <row r="2509" spans="1:4" x14ac:dyDescent="0.2">
      <c r="A2509" s="462"/>
      <c r="B2509" s="462"/>
      <c r="C2509" s="21"/>
      <c r="D2509" s="462"/>
    </row>
    <row r="2510" spans="1:4" x14ac:dyDescent="0.2">
      <c r="A2510" s="462"/>
      <c r="B2510" s="462"/>
      <c r="C2510" s="21"/>
      <c r="D2510" s="462"/>
    </row>
    <row r="2511" spans="1:4" x14ac:dyDescent="0.2">
      <c r="A2511" s="462"/>
      <c r="B2511" s="462"/>
      <c r="C2511" s="21"/>
      <c r="D2511" s="462"/>
    </row>
    <row r="2512" spans="1:4" x14ac:dyDescent="0.2">
      <c r="A2512" s="462"/>
      <c r="B2512" s="462"/>
      <c r="C2512" s="21"/>
      <c r="D2512" s="462"/>
    </row>
    <row r="2513" spans="1:4" x14ac:dyDescent="0.2">
      <c r="A2513" s="462"/>
      <c r="B2513" s="462"/>
      <c r="C2513" s="21"/>
      <c r="D2513" s="462"/>
    </row>
    <row r="2514" spans="1:4" x14ac:dyDescent="0.2">
      <c r="A2514" s="462"/>
      <c r="B2514" s="462"/>
      <c r="C2514" s="21"/>
      <c r="D2514" s="462"/>
    </row>
    <row r="2515" spans="1:4" x14ac:dyDescent="0.2">
      <c r="A2515" s="462"/>
      <c r="B2515" s="462"/>
      <c r="C2515" s="21"/>
      <c r="D2515" s="462"/>
    </row>
    <row r="2516" spans="1:4" x14ac:dyDescent="0.2">
      <c r="A2516" s="462"/>
      <c r="B2516" s="462"/>
      <c r="C2516" s="21"/>
      <c r="D2516" s="462"/>
    </row>
    <row r="2517" spans="1:4" x14ac:dyDescent="0.2">
      <c r="A2517" s="462"/>
      <c r="B2517" s="462"/>
      <c r="C2517" s="21"/>
      <c r="D2517" s="462"/>
    </row>
    <row r="2518" spans="1:4" x14ac:dyDescent="0.2">
      <c r="A2518" s="462"/>
      <c r="B2518" s="462"/>
      <c r="C2518" s="21"/>
      <c r="D2518" s="462"/>
    </row>
    <row r="2519" spans="1:4" x14ac:dyDescent="0.2">
      <c r="A2519" s="462"/>
      <c r="B2519" s="462"/>
      <c r="C2519" s="21"/>
      <c r="D2519" s="462"/>
    </row>
    <row r="2520" spans="1:4" x14ac:dyDescent="0.2">
      <c r="A2520" s="462"/>
      <c r="B2520" s="462"/>
      <c r="C2520" s="21"/>
      <c r="D2520" s="462"/>
    </row>
    <row r="2521" spans="1:4" x14ac:dyDescent="0.2">
      <c r="A2521" s="462"/>
      <c r="B2521" s="462"/>
      <c r="C2521" s="21"/>
      <c r="D2521" s="462"/>
    </row>
    <row r="2522" spans="1:4" x14ac:dyDescent="0.2">
      <c r="A2522" s="462"/>
      <c r="B2522" s="462"/>
      <c r="C2522" s="21"/>
      <c r="D2522" s="462"/>
    </row>
    <row r="2523" spans="1:4" x14ac:dyDescent="0.2">
      <c r="A2523" s="462"/>
      <c r="B2523" s="462"/>
      <c r="C2523" s="21"/>
      <c r="D2523" s="462"/>
    </row>
    <row r="2524" spans="1:4" x14ac:dyDescent="0.2">
      <c r="A2524" s="462"/>
      <c r="B2524" s="462"/>
      <c r="C2524" s="21"/>
      <c r="D2524" s="462"/>
    </row>
    <row r="2525" spans="1:4" x14ac:dyDescent="0.2">
      <c r="A2525" s="462"/>
      <c r="B2525" s="462"/>
      <c r="C2525" s="21"/>
      <c r="D2525" s="462"/>
    </row>
    <row r="2526" spans="1:4" x14ac:dyDescent="0.2">
      <c r="A2526" s="462"/>
      <c r="B2526" s="462"/>
      <c r="C2526" s="21"/>
      <c r="D2526" s="462"/>
    </row>
    <row r="2527" spans="1:4" x14ac:dyDescent="0.2">
      <c r="A2527" s="462"/>
      <c r="B2527" s="462"/>
      <c r="C2527" s="21"/>
      <c r="D2527" s="462"/>
    </row>
    <row r="2528" spans="1:4" x14ac:dyDescent="0.2">
      <c r="A2528" s="462"/>
      <c r="B2528" s="462"/>
      <c r="C2528" s="21"/>
      <c r="D2528" s="462"/>
    </row>
    <row r="2529" spans="1:4" x14ac:dyDescent="0.2">
      <c r="A2529" s="462"/>
      <c r="B2529" s="462"/>
      <c r="C2529" s="21"/>
      <c r="D2529" s="462"/>
    </row>
    <row r="2530" spans="1:4" x14ac:dyDescent="0.2">
      <c r="A2530" s="462"/>
      <c r="B2530" s="462"/>
      <c r="C2530" s="21"/>
      <c r="D2530" s="462"/>
    </row>
    <row r="2531" spans="1:4" x14ac:dyDescent="0.2">
      <c r="A2531" s="462"/>
      <c r="B2531" s="462"/>
      <c r="C2531" s="21"/>
      <c r="D2531" s="462"/>
    </row>
    <row r="2532" spans="1:4" x14ac:dyDescent="0.2">
      <c r="A2532" s="462"/>
      <c r="B2532" s="462"/>
      <c r="C2532" s="21"/>
      <c r="D2532" s="462"/>
    </row>
    <row r="2533" spans="1:4" x14ac:dyDescent="0.2">
      <c r="A2533" s="462"/>
      <c r="B2533" s="462"/>
      <c r="C2533" s="21"/>
      <c r="D2533" s="462"/>
    </row>
    <row r="2534" spans="1:4" x14ac:dyDescent="0.2">
      <c r="A2534" s="462"/>
      <c r="B2534" s="462"/>
      <c r="C2534" s="21"/>
      <c r="D2534" s="462"/>
    </row>
    <row r="2535" spans="1:4" x14ac:dyDescent="0.2">
      <c r="A2535" s="462"/>
      <c r="B2535" s="462"/>
      <c r="C2535" s="21"/>
      <c r="D2535" s="462"/>
    </row>
    <row r="2536" spans="1:4" x14ac:dyDescent="0.2">
      <c r="A2536" s="462"/>
      <c r="B2536" s="462"/>
      <c r="C2536" s="21"/>
      <c r="D2536" s="462"/>
    </row>
    <row r="2537" spans="1:4" x14ac:dyDescent="0.2">
      <c r="A2537" s="462"/>
      <c r="B2537" s="462"/>
      <c r="C2537" s="21"/>
      <c r="D2537" s="462"/>
    </row>
    <row r="2538" spans="1:4" x14ac:dyDescent="0.2">
      <c r="A2538" s="462"/>
      <c r="B2538" s="462"/>
      <c r="C2538" s="21"/>
      <c r="D2538" s="462"/>
    </row>
    <row r="2539" spans="1:4" x14ac:dyDescent="0.2">
      <c r="A2539" s="462"/>
      <c r="B2539" s="462"/>
      <c r="C2539" s="21"/>
      <c r="D2539" s="462"/>
    </row>
    <row r="2540" spans="1:4" x14ac:dyDescent="0.2">
      <c r="A2540" s="462"/>
      <c r="B2540" s="462"/>
      <c r="C2540" s="21"/>
      <c r="D2540" s="462"/>
    </row>
    <row r="2541" spans="1:4" x14ac:dyDescent="0.2">
      <c r="A2541" s="462"/>
      <c r="B2541" s="462"/>
      <c r="C2541" s="21"/>
      <c r="D2541" s="462"/>
    </row>
    <row r="2542" spans="1:4" x14ac:dyDescent="0.2">
      <c r="A2542" s="462"/>
      <c r="B2542" s="462"/>
      <c r="C2542" s="21"/>
      <c r="D2542" s="462"/>
    </row>
    <row r="2543" spans="1:4" x14ac:dyDescent="0.2">
      <c r="A2543" s="462"/>
      <c r="B2543" s="462"/>
      <c r="C2543" s="21"/>
      <c r="D2543" s="462"/>
    </row>
    <row r="2544" spans="1:4" x14ac:dyDescent="0.2">
      <c r="A2544" s="462"/>
      <c r="B2544" s="462"/>
      <c r="C2544" s="21"/>
      <c r="D2544" s="462"/>
    </row>
    <row r="2545" spans="1:4" x14ac:dyDescent="0.2">
      <c r="A2545" s="462"/>
      <c r="B2545" s="462"/>
      <c r="C2545" s="21"/>
      <c r="D2545" s="462"/>
    </row>
    <row r="2546" spans="1:4" x14ac:dyDescent="0.2">
      <c r="A2546" s="462"/>
      <c r="B2546" s="462"/>
      <c r="C2546" s="21"/>
      <c r="D2546" s="462"/>
    </row>
    <row r="2547" spans="1:4" x14ac:dyDescent="0.2">
      <c r="A2547" s="462"/>
      <c r="B2547" s="462"/>
      <c r="C2547" s="21"/>
      <c r="D2547" s="462"/>
    </row>
    <row r="2548" spans="1:4" x14ac:dyDescent="0.2">
      <c r="A2548" s="462"/>
      <c r="B2548" s="462"/>
      <c r="C2548" s="21"/>
      <c r="D2548" s="462"/>
    </row>
    <row r="2549" spans="1:4" x14ac:dyDescent="0.2">
      <c r="A2549" s="462"/>
      <c r="B2549" s="462"/>
      <c r="C2549" s="21"/>
      <c r="D2549" s="462"/>
    </row>
    <row r="2550" spans="1:4" x14ac:dyDescent="0.2">
      <c r="A2550" s="462"/>
      <c r="B2550" s="462"/>
      <c r="C2550" s="21"/>
      <c r="D2550" s="462"/>
    </row>
    <row r="2551" spans="1:4" x14ac:dyDescent="0.2">
      <c r="A2551" s="462"/>
      <c r="B2551" s="462"/>
      <c r="C2551" s="21"/>
      <c r="D2551" s="462"/>
    </row>
    <row r="2552" spans="1:4" x14ac:dyDescent="0.2">
      <c r="A2552" s="462"/>
      <c r="B2552" s="462"/>
      <c r="C2552" s="21"/>
      <c r="D2552" s="462"/>
    </row>
    <row r="2553" spans="1:4" x14ac:dyDescent="0.2">
      <c r="A2553" s="462"/>
      <c r="B2553" s="462"/>
      <c r="C2553" s="21"/>
      <c r="D2553" s="462"/>
    </row>
    <row r="2554" spans="1:4" x14ac:dyDescent="0.2">
      <c r="A2554" s="462"/>
      <c r="B2554" s="462"/>
      <c r="C2554" s="21"/>
      <c r="D2554" s="462"/>
    </row>
    <row r="2555" spans="1:4" x14ac:dyDescent="0.2">
      <c r="A2555" s="462"/>
      <c r="B2555" s="462"/>
      <c r="C2555" s="21"/>
      <c r="D2555" s="462"/>
    </row>
    <row r="2556" spans="1:4" x14ac:dyDescent="0.2">
      <c r="A2556" s="462"/>
      <c r="B2556" s="462"/>
      <c r="C2556" s="21"/>
      <c r="D2556" s="462"/>
    </row>
    <row r="2557" spans="1:4" x14ac:dyDescent="0.2">
      <c r="A2557" s="462"/>
      <c r="B2557" s="462"/>
      <c r="C2557" s="21"/>
      <c r="D2557" s="462"/>
    </row>
    <row r="2558" spans="1:4" x14ac:dyDescent="0.2">
      <c r="A2558" s="462"/>
      <c r="B2558" s="462"/>
      <c r="C2558" s="21"/>
      <c r="D2558" s="462"/>
    </row>
    <row r="2559" spans="1:4" x14ac:dyDescent="0.2">
      <c r="A2559" s="462"/>
      <c r="B2559" s="462"/>
      <c r="C2559" s="21"/>
      <c r="D2559" s="462"/>
    </row>
    <row r="2560" spans="1:4" x14ac:dyDescent="0.2">
      <c r="A2560" s="462"/>
      <c r="B2560" s="462"/>
      <c r="C2560" s="21"/>
      <c r="D2560" s="462"/>
    </row>
    <row r="2561" spans="1:4" x14ac:dyDescent="0.2">
      <c r="A2561" s="462"/>
      <c r="B2561" s="462"/>
      <c r="C2561" s="21"/>
      <c r="D2561" s="462"/>
    </row>
    <row r="2562" spans="1:4" x14ac:dyDescent="0.2">
      <c r="A2562" s="462"/>
      <c r="B2562" s="462"/>
      <c r="C2562" s="21"/>
      <c r="D2562" s="462"/>
    </row>
    <row r="2563" spans="1:4" x14ac:dyDescent="0.2">
      <c r="A2563" s="462"/>
      <c r="B2563" s="462"/>
      <c r="C2563" s="21"/>
      <c r="D2563" s="462"/>
    </row>
    <row r="2564" spans="1:4" x14ac:dyDescent="0.2">
      <c r="A2564" s="462"/>
      <c r="B2564" s="462"/>
      <c r="C2564" s="21"/>
      <c r="D2564" s="462"/>
    </row>
    <row r="2565" spans="1:4" x14ac:dyDescent="0.2">
      <c r="A2565" s="462"/>
      <c r="B2565" s="462"/>
      <c r="C2565" s="21"/>
      <c r="D2565" s="462"/>
    </row>
    <row r="2566" spans="1:4" x14ac:dyDescent="0.2">
      <c r="A2566" s="462"/>
      <c r="B2566" s="462"/>
      <c r="C2566" s="21"/>
      <c r="D2566" s="462"/>
    </row>
    <row r="2567" spans="1:4" x14ac:dyDescent="0.2">
      <c r="A2567" s="462"/>
      <c r="B2567" s="462"/>
      <c r="C2567" s="21"/>
      <c r="D2567" s="462"/>
    </row>
    <row r="2568" spans="1:4" x14ac:dyDescent="0.2">
      <c r="A2568" s="462"/>
      <c r="B2568" s="462"/>
      <c r="C2568" s="21"/>
      <c r="D2568" s="462"/>
    </row>
    <row r="2569" spans="1:4" x14ac:dyDescent="0.2">
      <c r="A2569" s="462"/>
      <c r="B2569" s="462"/>
      <c r="C2569" s="21"/>
      <c r="D2569" s="462"/>
    </row>
    <row r="2570" spans="1:4" x14ac:dyDescent="0.2">
      <c r="A2570" s="462"/>
      <c r="B2570" s="462"/>
      <c r="C2570" s="21"/>
      <c r="D2570" s="462"/>
    </row>
    <row r="2571" spans="1:4" x14ac:dyDescent="0.2">
      <c r="A2571" s="462"/>
      <c r="B2571" s="462"/>
      <c r="C2571" s="21"/>
      <c r="D2571" s="462"/>
    </row>
    <row r="2572" spans="1:4" x14ac:dyDescent="0.2">
      <c r="A2572" s="462"/>
      <c r="B2572" s="462"/>
      <c r="C2572" s="21"/>
      <c r="D2572" s="462"/>
    </row>
    <row r="2573" spans="1:4" x14ac:dyDescent="0.2">
      <c r="A2573" s="462"/>
      <c r="B2573" s="462"/>
      <c r="C2573" s="21"/>
      <c r="D2573" s="462"/>
    </row>
    <row r="2574" spans="1:4" x14ac:dyDescent="0.2">
      <c r="A2574" s="462"/>
      <c r="B2574" s="462"/>
      <c r="C2574" s="21"/>
      <c r="D2574" s="462"/>
    </row>
    <row r="2575" spans="1:4" x14ac:dyDescent="0.2">
      <c r="A2575" s="462"/>
      <c r="B2575" s="462"/>
      <c r="C2575" s="21"/>
      <c r="D2575" s="462"/>
    </row>
    <row r="2576" spans="1:4" x14ac:dyDescent="0.2">
      <c r="A2576" s="462"/>
      <c r="B2576" s="462"/>
      <c r="C2576" s="21"/>
      <c r="D2576" s="462"/>
    </row>
    <row r="2577" spans="1:4" x14ac:dyDescent="0.2">
      <c r="A2577" s="462"/>
      <c r="B2577" s="462"/>
      <c r="C2577" s="21"/>
      <c r="D2577" s="462"/>
    </row>
    <row r="2578" spans="1:4" x14ac:dyDescent="0.2">
      <c r="A2578" s="462"/>
      <c r="B2578" s="462"/>
      <c r="C2578" s="21"/>
      <c r="D2578" s="462"/>
    </row>
    <row r="2579" spans="1:4" x14ac:dyDescent="0.2">
      <c r="A2579" s="462"/>
      <c r="B2579" s="462"/>
      <c r="C2579" s="21"/>
      <c r="D2579" s="462"/>
    </row>
    <row r="2580" spans="1:4" x14ac:dyDescent="0.2">
      <c r="A2580" s="462"/>
      <c r="B2580" s="462"/>
      <c r="C2580" s="21"/>
      <c r="D2580" s="462"/>
    </row>
    <row r="2581" spans="1:4" x14ac:dyDescent="0.2">
      <c r="A2581" s="462"/>
      <c r="B2581" s="462"/>
      <c r="C2581" s="21"/>
      <c r="D2581" s="462"/>
    </row>
    <row r="2582" spans="1:4" x14ac:dyDescent="0.2">
      <c r="A2582" s="462"/>
      <c r="B2582" s="462"/>
      <c r="C2582" s="21"/>
      <c r="D2582" s="462"/>
    </row>
    <row r="2583" spans="1:4" x14ac:dyDescent="0.2">
      <c r="A2583" s="462"/>
      <c r="B2583" s="462"/>
      <c r="C2583" s="21"/>
      <c r="D2583" s="462"/>
    </row>
    <row r="2584" spans="1:4" x14ac:dyDescent="0.2">
      <c r="A2584" s="462"/>
      <c r="B2584" s="462"/>
      <c r="C2584" s="21"/>
      <c r="D2584" s="462"/>
    </row>
    <row r="2585" spans="1:4" x14ac:dyDescent="0.2">
      <c r="A2585" s="462"/>
      <c r="B2585" s="462"/>
      <c r="C2585" s="21"/>
      <c r="D2585" s="462"/>
    </row>
    <row r="2586" spans="1:4" x14ac:dyDescent="0.2">
      <c r="A2586" s="462"/>
      <c r="B2586" s="462"/>
      <c r="C2586" s="21"/>
      <c r="D2586" s="462"/>
    </row>
    <row r="2587" spans="1:4" x14ac:dyDescent="0.2">
      <c r="A2587" s="462"/>
      <c r="B2587" s="462"/>
      <c r="C2587" s="21"/>
      <c r="D2587" s="462"/>
    </row>
    <row r="2588" spans="1:4" x14ac:dyDescent="0.2">
      <c r="A2588" s="462"/>
      <c r="B2588" s="462"/>
      <c r="C2588" s="21"/>
      <c r="D2588" s="462"/>
    </row>
    <row r="2589" spans="1:4" x14ac:dyDescent="0.2">
      <c r="A2589" s="462"/>
      <c r="B2589" s="462"/>
      <c r="C2589" s="21"/>
      <c r="D2589" s="462"/>
    </row>
    <row r="2590" spans="1:4" x14ac:dyDescent="0.2">
      <c r="A2590" s="462"/>
      <c r="B2590" s="462"/>
      <c r="C2590" s="21"/>
      <c r="D2590" s="462"/>
    </row>
    <row r="2591" spans="1:4" x14ac:dyDescent="0.2">
      <c r="A2591" s="462"/>
      <c r="B2591" s="462"/>
      <c r="C2591" s="21"/>
      <c r="D2591" s="462"/>
    </row>
    <row r="2592" spans="1:4" x14ac:dyDescent="0.2">
      <c r="A2592" s="462"/>
      <c r="B2592" s="462"/>
      <c r="C2592" s="21"/>
      <c r="D2592" s="462"/>
    </row>
    <row r="2593" spans="1:4" x14ac:dyDescent="0.2">
      <c r="A2593" s="462"/>
      <c r="B2593" s="462"/>
      <c r="C2593" s="21"/>
      <c r="D2593" s="462"/>
    </row>
    <row r="2594" spans="1:4" x14ac:dyDescent="0.2">
      <c r="A2594" s="462"/>
      <c r="B2594" s="462"/>
      <c r="C2594" s="21"/>
      <c r="D2594" s="462"/>
    </row>
    <row r="2595" spans="1:4" x14ac:dyDescent="0.2">
      <c r="A2595" s="462"/>
      <c r="B2595" s="462"/>
      <c r="C2595" s="21"/>
      <c r="D2595" s="462"/>
    </row>
    <row r="2596" spans="1:4" x14ac:dyDescent="0.2">
      <c r="A2596" s="462"/>
      <c r="B2596" s="462"/>
      <c r="C2596" s="21"/>
      <c r="D2596" s="462"/>
    </row>
    <row r="2597" spans="1:4" x14ac:dyDescent="0.2">
      <c r="A2597" s="462"/>
      <c r="B2597" s="462"/>
      <c r="C2597" s="21"/>
      <c r="D2597" s="462"/>
    </row>
    <row r="2598" spans="1:4" x14ac:dyDescent="0.2">
      <c r="A2598" s="462"/>
      <c r="B2598" s="462"/>
      <c r="C2598" s="21"/>
      <c r="D2598" s="462"/>
    </row>
    <row r="2599" spans="1:4" x14ac:dyDescent="0.2">
      <c r="A2599" s="462"/>
      <c r="B2599" s="462"/>
      <c r="C2599" s="21"/>
      <c r="D2599" s="462"/>
    </row>
    <row r="2600" spans="1:4" x14ac:dyDescent="0.2">
      <c r="A2600" s="462"/>
      <c r="B2600" s="462"/>
      <c r="C2600" s="21"/>
      <c r="D2600" s="462"/>
    </row>
    <row r="2601" spans="1:4" x14ac:dyDescent="0.2">
      <c r="A2601" s="462"/>
      <c r="B2601" s="462"/>
      <c r="C2601" s="21"/>
      <c r="D2601" s="462"/>
    </row>
    <row r="2602" spans="1:4" x14ac:dyDescent="0.2">
      <c r="A2602" s="462"/>
      <c r="B2602" s="462"/>
      <c r="C2602" s="21"/>
      <c r="D2602" s="462"/>
    </row>
    <row r="2603" spans="1:4" x14ac:dyDescent="0.2">
      <c r="A2603" s="462"/>
      <c r="B2603" s="462"/>
      <c r="C2603" s="21"/>
      <c r="D2603" s="462"/>
    </row>
    <row r="2604" spans="1:4" x14ac:dyDescent="0.2">
      <c r="A2604" s="462"/>
      <c r="B2604" s="462"/>
      <c r="C2604" s="21"/>
      <c r="D2604" s="462"/>
    </row>
    <row r="2605" spans="1:4" x14ac:dyDescent="0.2">
      <c r="A2605" s="462"/>
      <c r="B2605" s="462"/>
      <c r="C2605" s="21"/>
      <c r="D2605" s="462"/>
    </row>
    <row r="2606" spans="1:4" x14ac:dyDescent="0.2">
      <c r="A2606" s="462"/>
      <c r="B2606" s="462"/>
      <c r="C2606" s="21"/>
      <c r="D2606" s="462"/>
    </row>
    <row r="2607" spans="1:4" x14ac:dyDescent="0.2">
      <c r="A2607" s="462"/>
      <c r="B2607" s="462"/>
      <c r="C2607" s="21"/>
      <c r="D2607" s="462"/>
    </row>
    <row r="2608" spans="1:4" x14ac:dyDescent="0.2">
      <c r="A2608" s="462"/>
      <c r="B2608" s="462"/>
      <c r="C2608" s="21"/>
      <c r="D2608" s="462"/>
    </row>
    <row r="2609" spans="1:4" x14ac:dyDescent="0.2">
      <c r="A2609" s="462"/>
      <c r="B2609" s="462"/>
      <c r="C2609" s="21"/>
      <c r="D2609" s="462"/>
    </row>
    <row r="2610" spans="1:4" x14ac:dyDescent="0.2">
      <c r="A2610" s="462"/>
      <c r="B2610" s="462"/>
      <c r="C2610" s="21"/>
      <c r="D2610" s="462"/>
    </row>
    <row r="2611" spans="1:4" x14ac:dyDescent="0.2">
      <c r="A2611" s="462"/>
      <c r="B2611" s="462"/>
      <c r="C2611" s="21"/>
      <c r="D2611" s="462"/>
    </row>
    <row r="2612" spans="1:4" x14ac:dyDescent="0.2">
      <c r="A2612" s="462"/>
      <c r="B2612" s="462"/>
      <c r="C2612" s="21"/>
      <c r="D2612" s="462"/>
    </row>
    <row r="2613" spans="1:4" x14ac:dyDescent="0.2">
      <c r="A2613" s="462"/>
      <c r="B2613" s="462"/>
      <c r="C2613" s="21"/>
      <c r="D2613" s="462"/>
    </row>
    <row r="2614" spans="1:4" x14ac:dyDescent="0.2">
      <c r="A2614" s="462"/>
      <c r="B2614" s="462"/>
      <c r="C2614" s="21"/>
      <c r="D2614" s="462"/>
    </row>
    <row r="2615" spans="1:4" x14ac:dyDescent="0.2">
      <c r="A2615" s="462"/>
      <c r="B2615" s="462"/>
      <c r="C2615" s="21"/>
      <c r="D2615" s="462"/>
    </row>
    <row r="2616" spans="1:4" x14ac:dyDescent="0.2">
      <c r="A2616" s="462"/>
      <c r="B2616" s="462"/>
      <c r="C2616" s="21"/>
      <c r="D2616" s="462"/>
    </row>
    <row r="2617" spans="1:4" x14ac:dyDescent="0.2">
      <c r="A2617" s="462"/>
      <c r="B2617" s="462"/>
      <c r="C2617" s="21"/>
      <c r="D2617" s="462"/>
    </row>
    <row r="2618" spans="1:4" x14ac:dyDescent="0.2">
      <c r="A2618" s="462"/>
      <c r="B2618" s="462"/>
      <c r="C2618" s="21"/>
      <c r="D2618" s="462"/>
    </row>
    <row r="2619" spans="1:4" x14ac:dyDescent="0.2">
      <c r="A2619" s="462"/>
      <c r="B2619" s="462"/>
      <c r="C2619" s="21"/>
      <c r="D2619" s="462"/>
    </row>
    <row r="2620" spans="1:4" x14ac:dyDescent="0.2">
      <c r="A2620" s="462"/>
      <c r="B2620" s="462"/>
      <c r="C2620" s="21"/>
      <c r="D2620" s="462"/>
    </row>
    <row r="2621" spans="1:4" x14ac:dyDescent="0.2">
      <c r="A2621" s="462"/>
      <c r="B2621" s="462"/>
      <c r="C2621" s="21"/>
      <c r="D2621" s="462"/>
    </row>
    <row r="2622" spans="1:4" x14ac:dyDescent="0.2">
      <c r="A2622" s="462"/>
      <c r="B2622" s="462"/>
      <c r="C2622" s="21"/>
      <c r="D2622" s="462"/>
    </row>
    <row r="2623" spans="1:4" x14ac:dyDescent="0.2">
      <c r="A2623" s="462"/>
      <c r="B2623" s="462"/>
      <c r="C2623" s="21"/>
      <c r="D2623" s="462"/>
    </row>
    <row r="2624" spans="1:4" x14ac:dyDescent="0.2">
      <c r="A2624" s="462"/>
      <c r="B2624" s="462"/>
      <c r="C2624" s="21"/>
      <c r="D2624" s="462"/>
    </row>
    <row r="2625" spans="1:4" x14ac:dyDescent="0.2">
      <c r="A2625" s="462"/>
      <c r="B2625" s="462"/>
      <c r="C2625" s="21"/>
      <c r="D2625" s="462"/>
    </row>
    <row r="2626" spans="1:4" x14ac:dyDescent="0.2">
      <c r="A2626" s="462"/>
      <c r="B2626" s="462"/>
      <c r="C2626" s="21"/>
      <c r="D2626" s="462"/>
    </row>
    <row r="2627" spans="1:4" x14ac:dyDescent="0.2">
      <c r="A2627" s="462"/>
      <c r="B2627" s="462"/>
      <c r="C2627" s="21"/>
      <c r="D2627" s="462"/>
    </row>
    <row r="2628" spans="1:4" x14ac:dyDescent="0.2">
      <c r="A2628" s="462"/>
      <c r="B2628" s="462"/>
      <c r="C2628" s="21"/>
      <c r="D2628" s="462"/>
    </row>
    <row r="2629" spans="1:4" x14ac:dyDescent="0.2">
      <c r="A2629" s="462"/>
      <c r="B2629" s="462"/>
      <c r="C2629" s="21"/>
      <c r="D2629" s="462"/>
    </row>
    <row r="2630" spans="1:4" x14ac:dyDescent="0.2">
      <c r="A2630" s="462"/>
      <c r="B2630" s="462"/>
      <c r="C2630" s="21"/>
      <c r="D2630" s="462"/>
    </row>
    <row r="2631" spans="1:4" x14ac:dyDescent="0.2">
      <c r="A2631" s="462"/>
      <c r="B2631" s="462"/>
      <c r="C2631" s="21"/>
      <c r="D2631" s="462"/>
    </row>
    <row r="2632" spans="1:4" x14ac:dyDescent="0.2">
      <c r="A2632" s="462"/>
      <c r="B2632" s="462"/>
      <c r="C2632" s="21"/>
      <c r="D2632" s="462"/>
    </row>
    <row r="2633" spans="1:4" x14ac:dyDescent="0.2">
      <c r="A2633" s="462"/>
      <c r="B2633" s="462"/>
      <c r="C2633" s="21"/>
      <c r="D2633" s="462"/>
    </row>
    <row r="2634" spans="1:4" x14ac:dyDescent="0.2">
      <c r="A2634" s="462"/>
      <c r="B2634" s="462"/>
      <c r="C2634" s="21"/>
      <c r="D2634" s="462"/>
    </row>
    <row r="2635" spans="1:4" x14ac:dyDescent="0.2">
      <c r="A2635" s="462"/>
      <c r="B2635" s="462"/>
      <c r="C2635" s="21"/>
      <c r="D2635" s="462"/>
    </row>
    <row r="2636" spans="1:4" x14ac:dyDescent="0.2">
      <c r="A2636" s="462"/>
      <c r="B2636" s="462"/>
      <c r="C2636" s="21"/>
      <c r="D2636" s="462"/>
    </row>
    <row r="2637" spans="1:4" x14ac:dyDescent="0.2">
      <c r="A2637" s="462"/>
      <c r="B2637" s="462"/>
      <c r="C2637" s="21"/>
      <c r="D2637" s="462"/>
    </row>
    <row r="2638" spans="1:4" x14ac:dyDescent="0.2">
      <c r="A2638" s="462"/>
      <c r="B2638" s="462"/>
      <c r="C2638" s="21"/>
      <c r="D2638" s="462"/>
    </row>
    <row r="2639" spans="1:4" x14ac:dyDescent="0.2">
      <c r="A2639" s="462"/>
      <c r="B2639" s="462"/>
      <c r="C2639" s="21"/>
      <c r="D2639" s="462"/>
    </row>
    <row r="2640" spans="1:4" x14ac:dyDescent="0.2">
      <c r="A2640" s="462"/>
      <c r="B2640" s="462"/>
      <c r="C2640" s="21"/>
      <c r="D2640" s="462"/>
    </row>
    <row r="2641" spans="1:4" x14ac:dyDescent="0.2">
      <c r="A2641" s="462"/>
      <c r="B2641" s="462"/>
      <c r="C2641" s="21"/>
      <c r="D2641" s="462"/>
    </row>
    <row r="2642" spans="1:4" x14ac:dyDescent="0.2">
      <c r="A2642" s="462"/>
      <c r="B2642" s="462"/>
      <c r="C2642" s="21"/>
      <c r="D2642" s="462"/>
    </row>
    <row r="2643" spans="1:4" x14ac:dyDescent="0.2">
      <c r="A2643" s="462"/>
      <c r="B2643" s="462"/>
      <c r="C2643" s="21"/>
      <c r="D2643" s="462"/>
    </row>
    <row r="2644" spans="1:4" x14ac:dyDescent="0.2">
      <c r="A2644" s="462"/>
      <c r="B2644" s="462"/>
      <c r="C2644" s="21"/>
      <c r="D2644" s="462"/>
    </row>
    <row r="2645" spans="1:4" x14ac:dyDescent="0.2">
      <c r="A2645" s="462"/>
      <c r="B2645" s="462"/>
      <c r="C2645" s="21"/>
      <c r="D2645" s="462"/>
    </row>
    <row r="2646" spans="1:4" x14ac:dyDescent="0.2">
      <c r="A2646" s="462"/>
      <c r="B2646" s="462"/>
      <c r="C2646" s="21"/>
      <c r="D2646" s="462"/>
    </row>
    <row r="2647" spans="1:4" x14ac:dyDescent="0.2">
      <c r="A2647" s="462"/>
      <c r="B2647" s="462"/>
      <c r="C2647" s="21"/>
      <c r="D2647" s="462"/>
    </row>
    <row r="2648" spans="1:4" x14ac:dyDescent="0.2">
      <c r="A2648" s="462"/>
      <c r="B2648" s="462"/>
      <c r="C2648" s="21"/>
      <c r="D2648" s="462"/>
    </row>
    <row r="2649" spans="1:4" x14ac:dyDescent="0.2">
      <c r="A2649" s="462"/>
      <c r="B2649" s="462"/>
      <c r="C2649" s="21"/>
      <c r="D2649" s="462"/>
    </row>
    <row r="2650" spans="1:4" x14ac:dyDescent="0.2">
      <c r="A2650" s="462"/>
      <c r="B2650" s="462"/>
      <c r="C2650" s="21"/>
      <c r="D2650" s="462"/>
    </row>
    <row r="2651" spans="1:4" x14ac:dyDescent="0.2">
      <c r="A2651" s="462"/>
      <c r="B2651" s="462"/>
      <c r="C2651" s="21"/>
      <c r="D2651" s="462"/>
    </row>
    <row r="2652" spans="1:4" x14ac:dyDescent="0.2">
      <c r="A2652" s="462"/>
      <c r="B2652" s="462"/>
      <c r="C2652" s="21"/>
      <c r="D2652" s="462"/>
    </row>
    <row r="2653" spans="1:4" x14ac:dyDescent="0.2">
      <c r="A2653" s="462"/>
      <c r="B2653" s="462"/>
      <c r="C2653" s="21"/>
      <c r="D2653" s="462"/>
    </row>
    <row r="2654" spans="1:4" x14ac:dyDescent="0.2">
      <c r="A2654" s="462"/>
      <c r="B2654" s="462"/>
      <c r="C2654" s="21"/>
      <c r="D2654" s="462"/>
    </row>
    <row r="2655" spans="1:4" x14ac:dyDescent="0.2">
      <c r="A2655" s="462"/>
      <c r="B2655" s="462"/>
      <c r="C2655" s="21"/>
      <c r="D2655" s="462"/>
    </row>
    <row r="2656" spans="1:4" x14ac:dyDescent="0.2">
      <c r="A2656" s="462"/>
      <c r="B2656" s="462"/>
      <c r="C2656" s="21"/>
      <c r="D2656" s="462"/>
    </row>
    <row r="2657" spans="1:4" x14ac:dyDescent="0.2">
      <c r="A2657" s="462"/>
      <c r="B2657" s="462"/>
      <c r="C2657" s="21"/>
      <c r="D2657" s="462"/>
    </row>
    <row r="2658" spans="1:4" x14ac:dyDescent="0.2">
      <c r="A2658" s="462"/>
      <c r="B2658" s="462"/>
      <c r="C2658" s="21"/>
      <c r="D2658" s="462"/>
    </row>
    <row r="2659" spans="1:4" x14ac:dyDescent="0.2">
      <c r="A2659" s="462"/>
      <c r="B2659" s="462"/>
      <c r="C2659" s="21"/>
      <c r="D2659" s="462"/>
    </row>
    <row r="2660" spans="1:4" x14ac:dyDescent="0.2">
      <c r="A2660" s="462"/>
      <c r="B2660" s="462"/>
      <c r="C2660" s="21"/>
      <c r="D2660" s="462"/>
    </row>
    <row r="2661" spans="1:4" x14ac:dyDescent="0.2">
      <c r="A2661" s="462"/>
      <c r="B2661" s="462"/>
      <c r="C2661" s="21"/>
      <c r="D2661" s="462"/>
    </row>
    <row r="2662" spans="1:4" x14ac:dyDescent="0.2">
      <c r="A2662" s="462"/>
      <c r="B2662" s="462"/>
      <c r="C2662" s="21"/>
      <c r="D2662" s="462"/>
    </row>
    <row r="2663" spans="1:4" x14ac:dyDescent="0.2">
      <c r="A2663" s="462"/>
      <c r="B2663" s="462"/>
      <c r="C2663" s="21"/>
      <c r="D2663" s="462"/>
    </row>
    <row r="2664" spans="1:4" x14ac:dyDescent="0.2">
      <c r="A2664" s="462"/>
      <c r="B2664" s="462"/>
      <c r="C2664" s="21"/>
      <c r="D2664" s="462"/>
    </row>
    <row r="2665" spans="1:4" x14ac:dyDescent="0.2">
      <c r="A2665" s="462"/>
      <c r="B2665" s="462"/>
      <c r="C2665" s="21"/>
      <c r="D2665" s="462"/>
    </row>
    <row r="2666" spans="1:4" x14ac:dyDescent="0.2">
      <c r="A2666" s="462"/>
      <c r="B2666" s="462"/>
      <c r="C2666" s="21"/>
      <c r="D2666" s="462"/>
    </row>
    <row r="2667" spans="1:4" x14ac:dyDescent="0.2">
      <c r="A2667" s="462"/>
      <c r="B2667" s="462"/>
      <c r="C2667" s="21"/>
      <c r="D2667" s="462"/>
    </row>
    <row r="2668" spans="1:4" x14ac:dyDescent="0.2">
      <c r="A2668" s="462"/>
      <c r="B2668" s="462"/>
      <c r="C2668" s="21"/>
      <c r="D2668" s="462"/>
    </row>
    <row r="2669" spans="1:4" x14ac:dyDescent="0.2">
      <c r="A2669" s="462"/>
      <c r="B2669" s="462"/>
      <c r="C2669" s="21"/>
      <c r="D2669" s="462"/>
    </row>
    <row r="2670" spans="1:4" x14ac:dyDescent="0.2">
      <c r="A2670" s="462"/>
      <c r="B2670" s="462"/>
      <c r="C2670" s="21"/>
      <c r="D2670" s="462"/>
    </row>
    <row r="2671" spans="1:4" x14ac:dyDescent="0.2">
      <c r="A2671" s="462"/>
      <c r="B2671" s="462"/>
      <c r="C2671" s="21"/>
      <c r="D2671" s="462"/>
    </row>
    <row r="2672" spans="1:4" x14ac:dyDescent="0.2">
      <c r="A2672" s="462"/>
      <c r="B2672" s="462"/>
      <c r="C2672" s="21"/>
      <c r="D2672" s="462"/>
    </row>
    <row r="2673" spans="1:4" x14ac:dyDescent="0.2">
      <c r="A2673" s="462"/>
      <c r="B2673" s="462"/>
      <c r="C2673" s="21"/>
      <c r="D2673" s="462"/>
    </row>
    <row r="2674" spans="1:4" x14ac:dyDescent="0.2">
      <c r="A2674" s="462"/>
      <c r="B2674" s="462"/>
      <c r="C2674" s="21"/>
      <c r="D2674" s="462"/>
    </row>
    <row r="2675" spans="1:4" x14ac:dyDescent="0.2">
      <c r="A2675" s="462"/>
      <c r="B2675" s="462"/>
      <c r="C2675" s="21"/>
      <c r="D2675" s="462"/>
    </row>
    <row r="2676" spans="1:4" x14ac:dyDescent="0.2">
      <c r="A2676" s="462"/>
      <c r="B2676" s="462"/>
      <c r="C2676" s="21"/>
      <c r="D2676" s="462"/>
    </row>
    <row r="2677" spans="1:4" x14ac:dyDescent="0.2">
      <c r="A2677" s="462"/>
      <c r="B2677" s="462"/>
      <c r="C2677" s="21"/>
      <c r="D2677" s="462"/>
    </row>
    <row r="2678" spans="1:4" x14ac:dyDescent="0.2">
      <c r="A2678" s="462"/>
      <c r="B2678" s="462"/>
      <c r="C2678" s="21"/>
      <c r="D2678" s="462"/>
    </row>
    <row r="2679" spans="1:4" x14ac:dyDescent="0.2">
      <c r="A2679" s="462"/>
      <c r="B2679" s="462"/>
      <c r="C2679" s="21"/>
      <c r="D2679" s="462"/>
    </row>
    <row r="2680" spans="1:4" x14ac:dyDescent="0.2">
      <c r="A2680" s="462"/>
      <c r="B2680" s="462"/>
      <c r="C2680" s="21"/>
      <c r="D2680" s="462"/>
    </row>
    <row r="2681" spans="1:4" x14ac:dyDescent="0.2">
      <c r="A2681" s="462"/>
      <c r="B2681" s="462"/>
      <c r="C2681" s="21"/>
      <c r="D2681" s="462"/>
    </row>
    <row r="2682" spans="1:4" x14ac:dyDescent="0.2">
      <c r="A2682" s="462"/>
      <c r="B2682" s="462"/>
      <c r="C2682" s="21"/>
      <c r="D2682" s="462"/>
    </row>
    <row r="2683" spans="1:4" x14ac:dyDescent="0.2">
      <c r="A2683" s="462"/>
      <c r="B2683" s="462"/>
      <c r="C2683" s="21"/>
      <c r="D2683" s="462"/>
    </row>
    <row r="2684" spans="1:4" x14ac:dyDescent="0.2">
      <c r="A2684" s="462"/>
      <c r="B2684" s="462"/>
      <c r="C2684" s="21"/>
      <c r="D2684" s="462"/>
    </row>
    <row r="2685" spans="1:4" x14ac:dyDescent="0.2">
      <c r="A2685" s="462"/>
      <c r="B2685" s="462"/>
      <c r="C2685" s="21"/>
      <c r="D2685" s="462"/>
    </row>
    <row r="2686" spans="1:4" x14ac:dyDescent="0.2">
      <c r="A2686" s="462"/>
      <c r="B2686" s="462"/>
      <c r="C2686" s="21"/>
      <c r="D2686" s="462"/>
    </row>
    <row r="2687" spans="1:4" x14ac:dyDescent="0.2">
      <c r="A2687" s="462"/>
      <c r="B2687" s="462"/>
      <c r="C2687" s="21"/>
      <c r="D2687" s="462"/>
    </row>
    <row r="2688" spans="1:4" x14ac:dyDescent="0.2">
      <c r="A2688" s="462"/>
      <c r="B2688" s="462"/>
      <c r="C2688" s="21"/>
      <c r="D2688" s="462"/>
    </row>
    <row r="2689" spans="1:4" x14ac:dyDescent="0.2">
      <c r="A2689" s="462"/>
      <c r="B2689" s="462"/>
      <c r="C2689" s="21"/>
      <c r="D2689" s="462"/>
    </row>
    <row r="2690" spans="1:4" x14ac:dyDescent="0.2">
      <c r="A2690" s="462"/>
      <c r="B2690" s="462"/>
      <c r="C2690" s="21"/>
      <c r="D2690" s="462"/>
    </row>
    <row r="2691" spans="1:4" x14ac:dyDescent="0.2">
      <c r="A2691" s="462"/>
      <c r="B2691" s="462"/>
      <c r="C2691" s="21"/>
      <c r="D2691" s="462"/>
    </row>
    <row r="2692" spans="1:4" x14ac:dyDescent="0.2">
      <c r="A2692" s="462"/>
      <c r="B2692" s="462"/>
      <c r="C2692" s="21"/>
      <c r="D2692" s="462"/>
    </row>
    <row r="2693" spans="1:4" x14ac:dyDescent="0.2">
      <c r="A2693" s="462"/>
      <c r="B2693" s="462"/>
      <c r="C2693" s="21"/>
      <c r="D2693" s="462"/>
    </row>
    <row r="2694" spans="1:4" x14ac:dyDescent="0.2">
      <c r="A2694" s="462"/>
      <c r="B2694" s="462"/>
      <c r="C2694" s="21"/>
      <c r="D2694" s="462"/>
    </row>
    <row r="2695" spans="1:4" x14ac:dyDescent="0.2">
      <c r="A2695" s="462"/>
      <c r="B2695" s="462"/>
      <c r="C2695" s="21"/>
      <c r="D2695" s="462"/>
    </row>
    <row r="2696" spans="1:4" x14ac:dyDescent="0.2">
      <c r="A2696" s="462"/>
      <c r="B2696" s="462"/>
      <c r="C2696" s="21"/>
      <c r="D2696" s="462"/>
    </row>
    <row r="2697" spans="1:4" x14ac:dyDescent="0.2">
      <c r="A2697" s="462"/>
      <c r="B2697" s="462"/>
      <c r="C2697" s="21"/>
      <c r="D2697" s="462"/>
    </row>
    <row r="2698" spans="1:4" x14ac:dyDescent="0.2">
      <c r="A2698" s="462"/>
      <c r="B2698" s="462"/>
      <c r="C2698" s="21"/>
      <c r="D2698" s="462"/>
    </row>
    <row r="2699" spans="1:4" x14ac:dyDescent="0.2">
      <c r="A2699" s="462"/>
      <c r="B2699" s="462"/>
      <c r="C2699" s="21"/>
      <c r="D2699" s="462"/>
    </row>
    <row r="2700" spans="1:4" x14ac:dyDescent="0.2">
      <c r="A2700" s="462"/>
      <c r="B2700" s="462"/>
      <c r="C2700" s="21"/>
      <c r="D2700" s="462"/>
    </row>
    <row r="2701" spans="1:4" x14ac:dyDescent="0.2">
      <c r="A2701" s="462"/>
      <c r="B2701" s="462"/>
      <c r="C2701" s="21"/>
      <c r="D2701" s="462"/>
    </row>
    <row r="2702" spans="1:4" x14ac:dyDescent="0.2">
      <c r="A2702" s="462"/>
      <c r="B2702" s="462"/>
      <c r="C2702" s="21"/>
      <c r="D2702" s="462"/>
    </row>
    <row r="2703" spans="1:4" x14ac:dyDescent="0.2">
      <c r="A2703" s="462"/>
      <c r="B2703" s="462"/>
      <c r="C2703" s="21"/>
      <c r="D2703" s="462"/>
    </row>
    <row r="2704" spans="1:4" x14ac:dyDescent="0.2">
      <c r="A2704" s="462"/>
      <c r="B2704" s="462"/>
      <c r="C2704" s="21"/>
      <c r="D2704" s="462"/>
    </row>
    <row r="2705" spans="1:4" x14ac:dyDescent="0.2">
      <c r="A2705" s="462"/>
      <c r="B2705" s="462"/>
      <c r="C2705" s="21"/>
      <c r="D2705" s="462"/>
    </row>
    <row r="2706" spans="1:4" x14ac:dyDescent="0.2">
      <c r="A2706" s="462"/>
      <c r="B2706" s="462"/>
      <c r="C2706" s="21"/>
      <c r="D2706" s="462"/>
    </row>
    <row r="2707" spans="1:4" x14ac:dyDescent="0.2">
      <c r="A2707" s="462"/>
      <c r="B2707" s="462"/>
      <c r="C2707" s="21"/>
      <c r="D2707" s="462"/>
    </row>
    <row r="2708" spans="1:4" x14ac:dyDescent="0.2">
      <c r="A2708" s="462"/>
      <c r="B2708" s="462"/>
      <c r="C2708" s="21"/>
      <c r="D2708" s="462"/>
    </row>
    <row r="2709" spans="1:4" x14ac:dyDescent="0.2">
      <c r="A2709" s="462"/>
      <c r="B2709" s="462"/>
      <c r="C2709" s="21"/>
      <c r="D2709" s="462"/>
    </row>
    <row r="2710" spans="1:4" x14ac:dyDescent="0.2">
      <c r="A2710" s="462"/>
      <c r="B2710" s="462"/>
      <c r="C2710" s="21"/>
      <c r="D2710" s="462"/>
    </row>
    <row r="2711" spans="1:4" x14ac:dyDescent="0.2">
      <c r="A2711" s="462"/>
      <c r="B2711" s="462"/>
      <c r="C2711" s="21"/>
      <c r="D2711" s="462"/>
    </row>
    <row r="2712" spans="1:4" x14ac:dyDescent="0.2">
      <c r="A2712" s="462"/>
      <c r="B2712" s="462"/>
      <c r="C2712" s="21"/>
      <c r="D2712" s="462"/>
    </row>
    <row r="2713" spans="1:4" x14ac:dyDescent="0.2">
      <c r="A2713" s="462"/>
      <c r="B2713" s="462"/>
      <c r="C2713" s="21"/>
      <c r="D2713" s="462"/>
    </row>
    <row r="2714" spans="1:4" x14ac:dyDescent="0.2">
      <c r="A2714" s="462"/>
      <c r="B2714" s="462"/>
      <c r="C2714" s="21"/>
      <c r="D2714" s="462"/>
    </row>
    <row r="2715" spans="1:4" x14ac:dyDescent="0.2">
      <c r="A2715" s="462"/>
      <c r="B2715" s="462"/>
      <c r="C2715" s="21"/>
      <c r="D2715" s="462"/>
    </row>
    <row r="2716" spans="1:4" x14ac:dyDescent="0.2">
      <c r="A2716" s="462"/>
      <c r="B2716" s="462"/>
      <c r="C2716" s="21"/>
      <c r="D2716" s="462"/>
    </row>
    <row r="2717" spans="1:4" x14ac:dyDescent="0.2">
      <c r="A2717" s="462"/>
      <c r="B2717" s="462"/>
      <c r="C2717" s="21"/>
      <c r="D2717" s="462"/>
    </row>
    <row r="2718" spans="1:4" x14ac:dyDescent="0.2">
      <c r="A2718" s="462"/>
      <c r="B2718" s="462"/>
      <c r="C2718" s="21"/>
      <c r="D2718" s="462"/>
    </row>
    <row r="2719" spans="1:4" x14ac:dyDescent="0.2">
      <c r="A2719" s="462"/>
      <c r="B2719" s="462"/>
      <c r="C2719" s="21"/>
      <c r="D2719" s="462"/>
    </row>
    <row r="2720" spans="1:4" x14ac:dyDescent="0.2">
      <c r="A2720" s="462"/>
      <c r="B2720" s="462"/>
      <c r="C2720" s="21"/>
      <c r="D2720" s="462"/>
    </row>
    <row r="2721" spans="1:4" x14ac:dyDescent="0.2">
      <c r="A2721" s="462"/>
      <c r="B2721" s="462"/>
      <c r="C2721" s="21"/>
      <c r="D2721" s="462"/>
    </row>
    <row r="2722" spans="1:4" x14ac:dyDescent="0.2">
      <c r="A2722" s="462"/>
      <c r="B2722" s="462"/>
      <c r="C2722" s="21"/>
      <c r="D2722" s="462"/>
    </row>
    <row r="2723" spans="1:4" x14ac:dyDescent="0.2">
      <c r="A2723" s="462"/>
      <c r="B2723" s="462"/>
      <c r="C2723" s="21"/>
      <c r="D2723" s="462"/>
    </row>
    <row r="2724" spans="1:4" x14ac:dyDescent="0.2">
      <c r="A2724" s="462"/>
      <c r="B2724" s="462"/>
      <c r="C2724" s="21"/>
      <c r="D2724" s="462"/>
    </row>
    <row r="2725" spans="1:4" x14ac:dyDescent="0.2">
      <c r="A2725" s="462"/>
      <c r="B2725" s="462"/>
      <c r="C2725" s="21"/>
      <c r="D2725" s="462"/>
    </row>
    <row r="2726" spans="1:4" x14ac:dyDescent="0.2">
      <c r="A2726" s="462"/>
      <c r="B2726" s="462"/>
      <c r="C2726" s="21"/>
      <c r="D2726" s="462"/>
    </row>
    <row r="2727" spans="1:4" x14ac:dyDescent="0.2">
      <c r="A2727" s="462"/>
      <c r="B2727" s="462"/>
      <c r="C2727" s="21"/>
      <c r="D2727" s="462"/>
    </row>
    <row r="2728" spans="1:4" x14ac:dyDescent="0.2">
      <c r="A2728" s="462"/>
      <c r="B2728" s="462"/>
      <c r="C2728" s="21"/>
      <c r="D2728" s="462"/>
    </row>
    <row r="2729" spans="1:4" x14ac:dyDescent="0.2">
      <c r="A2729" s="462"/>
      <c r="B2729" s="462"/>
      <c r="C2729" s="21"/>
      <c r="D2729" s="462"/>
    </row>
    <row r="2730" spans="1:4" x14ac:dyDescent="0.2">
      <c r="A2730" s="462"/>
      <c r="B2730" s="462"/>
      <c r="C2730" s="21"/>
      <c r="D2730" s="462"/>
    </row>
    <row r="2731" spans="1:4" x14ac:dyDescent="0.2">
      <c r="A2731" s="462"/>
      <c r="B2731" s="462"/>
      <c r="C2731" s="21"/>
      <c r="D2731" s="462"/>
    </row>
    <row r="2732" spans="1:4" x14ac:dyDescent="0.2">
      <c r="A2732" s="462"/>
      <c r="B2732" s="462"/>
      <c r="C2732" s="21"/>
      <c r="D2732" s="462"/>
    </row>
    <row r="2733" spans="1:4" x14ac:dyDescent="0.2">
      <c r="A2733" s="462"/>
      <c r="B2733" s="462"/>
      <c r="C2733" s="21"/>
      <c r="D2733" s="462"/>
    </row>
    <row r="2734" spans="1:4" x14ac:dyDescent="0.2">
      <c r="A2734" s="462"/>
      <c r="B2734" s="462"/>
      <c r="C2734" s="21"/>
      <c r="D2734" s="462"/>
    </row>
    <row r="2735" spans="1:4" x14ac:dyDescent="0.2">
      <c r="A2735" s="462"/>
      <c r="B2735" s="462"/>
      <c r="C2735" s="21"/>
      <c r="D2735" s="462"/>
    </row>
    <row r="2736" spans="1:4" x14ac:dyDescent="0.2">
      <c r="A2736" s="462"/>
      <c r="B2736" s="462"/>
      <c r="C2736" s="21"/>
      <c r="D2736" s="462"/>
    </row>
    <row r="2737" spans="1:4" x14ac:dyDescent="0.2">
      <c r="A2737" s="462"/>
      <c r="B2737" s="462"/>
      <c r="C2737" s="21"/>
      <c r="D2737" s="462"/>
    </row>
    <row r="2738" spans="1:4" x14ac:dyDescent="0.2">
      <c r="A2738" s="462"/>
      <c r="B2738" s="462"/>
      <c r="C2738" s="21"/>
      <c r="D2738" s="462"/>
    </row>
    <row r="2739" spans="1:4" x14ac:dyDescent="0.2">
      <c r="A2739" s="462"/>
      <c r="B2739" s="462"/>
      <c r="C2739" s="21"/>
      <c r="D2739" s="462"/>
    </row>
    <row r="2740" spans="1:4" x14ac:dyDescent="0.2">
      <c r="A2740" s="462"/>
      <c r="B2740" s="462"/>
      <c r="C2740" s="21"/>
      <c r="D2740" s="462"/>
    </row>
    <row r="2741" spans="1:4" x14ac:dyDescent="0.2">
      <c r="A2741" s="462"/>
      <c r="B2741" s="462"/>
      <c r="C2741" s="21"/>
      <c r="D2741" s="462"/>
    </row>
    <row r="2742" spans="1:4" x14ac:dyDescent="0.2">
      <c r="A2742" s="462"/>
      <c r="B2742" s="462"/>
      <c r="C2742" s="21"/>
      <c r="D2742" s="462"/>
    </row>
    <row r="2743" spans="1:4" x14ac:dyDescent="0.2">
      <c r="A2743" s="462"/>
      <c r="B2743" s="462"/>
      <c r="C2743" s="21"/>
      <c r="D2743" s="462"/>
    </row>
    <row r="2744" spans="1:4" x14ac:dyDescent="0.2">
      <c r="A2744" s="462"/>
      <c r="B2744" s="462"/>
      <c r="C2744" s="21"/>
      <c r="D2744" s="462"/>
    </row>
    <row r="2745" spans="1:4" x14ac:dyDescent="0.2">
      <c r="A2745" s="462"/>
      <c r="B2745" s="462"/>
      <c r="C2745" s="21"/>
      <c r="D2745" s="462"/>
    </row>
    <row r="2746" spans="1:4" x14ac:dyDescent="0.2">
      <c r="A2746" s="462"/>
      <c r="B2746" s="462"/>
      <c r="C2746" s="21"/>
      <c r="D2746" s="462"/>
    </row>
    <row r="2747" spans="1:4" x14ac:dyDescent="0.2">
      <c r="A2747" s="462"/>
      <c r="B2747" s="462"/>
      <c r="C2747" s="21"/>
      <c r="D2747" s="462"/>
    </row>
    <row r="2748" spans="1:4" x14ac:dyDescent="0.2">
      <c r="A2748" s="462"/>
      <c r="B2748" s="462"/>
      <c r="C2748" s="21"/>
      <c r="D2748" s="462"/>
    </row>
    <row r="2749" spans="1:4" x14ac:dyDescent="0.2">
      <c r="A2749" s="462"/>
      <c r="B2749" s="462"/>
      <c r="C2749" s="21"/>
      <c r="D2749" s="462"/>
    </row>
    <row r="2750" spans="1:4" x14ac:dyDescent="0.2">
      <c r="A2750" s="462"/>
      <c r="B2750" s="462"/>
      <c r="C2750" s="21"/>
      <c r="D2750" s="462"/>
    </row>
    <row r="2751" spans="1:4" x14ac:dyDescent="0.2">
      <c r="A2751" s="462"/>
      <c r="B2751" s="462"/>
      <c r="C2751" s="21"/>
      <c r="D2751" s="462"/>
    </row>
    <row r="2752" spans="1:4" x14ac:dyDescent="0.2">
      <c r="A2752" s="462"/>
      <c r="B2752" s="462"/>
      <c r="C2752" s="21"/>
      <c r="D2752" s="462"/>
    </row>
    <row r="2753" spans="1:4" x14ac:dyDescent="0.2">
      <c r="A2753" s="462"/>
      <c r="B2753" s="462"/>
      <c r="C2753" s="21"/>
      <c r="D2753" s="462"/>
    </row>
    <row r="2754" spans="1:4" x14ac:dyDescent="0.2">
      <c r="A2754" s="462"/>
      <c r="B2754" s="462"/>
      <c r="C2754" s="21"/>
      <c r="D2754" s="462"/>
    </row>
    <row r="2755" spans="1:4" x14ac:dyDescent="0.2">
      <c r="A2755" s="462"/>
      <c r="B2755" s="462"/>
      <c r="C2755" s="21"/>
      <c r="D2755" s="462"/>
    </row>
    <row r="2756" spans="1:4" x14ac:dyDescent="0.2">
      <c r="A2756" s="462"/>
      <c r="B2756" s="462"/>
      <c r="C2756" s="21"/>
      <c r="D2756" s="462"/>
    </row>
    <row r="2757" spans="1:4" x14ac:dyDescent="0.2">
      <c r="A2757" s="462"/>
      <c r="B2757" s="462"/>
      <c r="C2757" s="21"/>
      <c r="D2757" s="462"/>
    </row>
    <row r="2758" spans="1:4" x14ac:dyDescent="0.2">
      <c r="A2758" s="462"/>
      <c r="B2758" s="462"/>
      <c r="C2758" s="21"/>
      <c r="D2758" s="462"/>
    </row>
    <row r="2759" spans="1:4" x14ac:dyDescent="0.2">
      <c r="A2759" s="462"/>
      <c r="B2759" s="462"/>
      <c r="C2759" s="21"/>
      <c r="D2759" s="462"/>
    </row>
    <row r="2760" spans="1:4" x14ac:dyDescent="0.2">
      <c r="A2760" s="462"/>
      <c r="B2760" s="462"/>
      <c r="C2760" s="21"/>
      <c r="D2760" s="462"/>
    </row>
    <row r="2761" spans="1:4" x14ac:dyDescent="0.2">
      <c r="A2761" s="462"/>
      <c r="B2761" s="462"/>
      <c r="C2761" s="21"/>
      <c r="D2761" s="462"/>
    </row>
    <row r="2762" spans="1:4" x14ac:dyDescent="0.2">
      <c r="A2762" s="462"/>
      <c r="B2762" s="462"/>
      <c r="C2762" s="21"/>
      <c r="D2762" s="462"/>
    </row>
    <row r="2763" spans="1:4" x14ac:dyDescent="0.2">
      <c r="A2763" s="462"/>
      <c r="B2763" s="462"/>
      <c r="C2763" s="21"/>
      <c r="D2763" s="462"/>
    </row>
    <row r="2764" spans="1:4" x14ac:dyDescent="0.2">
      <c r="A2764" s="462"/>
      <c r="B2764" s="462"/>
      <c r="C2764" s="21"/>
      <c r="D2764" s="462"/>
    </row>
    <row r="2765" spans="1:4" x14ac:dyDescent="0.2">
      <c r="A2765" s="462"/>
      <c r="B2765" s="462"/>
      <c r="C2765" s="21"/>
      <c r="D2765" s="462"/>
    </row>
    <row r="2766" spans="1:4" x14ac:dyDescent="0.2">
      <c r="A2766" s="462"/>
      <c r="B2766" s="462"/>
      <c r="C2766" s="21"/>
      <c r="D2766" s="462"/>
    </row>
    <row r="2767" spans="1:4" x14ac:dyDescent="0.2">
      <c r="A2767" s="462"/>
      <c r="B2767" s="462"/>
      <c r="C2767" s="21"/>
      <c r="D2767" s="462"/>
    </row>
    <row r="2768" spans="1:4" x14ac:dyDescent="0.2">
      <c r="A2768" s="462"/>
      <c r="B2768" s="462"/>
      <c r="C2768" s="21"/>
      <c r="D2768" s="462"/>
    </row>
    <row r="2769" spans="1:4" x14ac:dyDescent="0.2">
      <c r="A2769" s="462"/>
      <c r="B2769" s="462"/>
      <c r="C2769" s="21"/>
      <c r="D2769" s="462"/>
    </row>
    <row r="2770" spans="1:4" x14ac:dyDescent="0.2">
      <c r="A2770" s="462"/>
      <c r="B2770" s="462"/>
      <c r="C2770" s="21"/>
      <c r="D2770" s="462"/>
    </row>
    <row r="2771" spans="1:4" x14ac:dyDescent="0.2">
      <c r="A2771" s="462"/>
      <c r="B2771" s="462"/>
      <c r="C2771" s="21"/>
      <c r="D2771" s="462"/>
    </row>
    <row r="2772" spans="1:4" x14ac:dyDescent="0.2">
      <c r="A2772" s="462"/>
      <c r="B2772" s="462"/>
      <c r="C2772" s="21"/>
      <c r="D2772" s="462"/>
    </row>
    <row r="2773" spans="1:4" x14ac:dyDescent="0.2">
      <c r="A2773" s="462"/>
      <c r="B2773" s="462"/>
      <c r="C2773" s="21"/>
      <c r="D2773" s="462"/>
    </row>
    <row r="2774" spans="1:4" x14ac:dyDescent="0.2">
      <c r="A2774" s="462"/>
      <c r="B2774" s="462"/>
      <c r="C2774" s="21"/>
      <c r="D2774" s="462"/>
    </row>
    <row r="2775" spans="1:4" x14ac:dyDescent="0.2">
      <c r="A2775" s="462"/>
      <c r="B2775" s="462"/>
      <c r="C2775" s="21"/>
      <c r="D2775" s="462"/>
    </row>
    <row r="2776" spans="1:4" x14ac:dyDescent="0.2">
      <c r="A2776" s="462"/>
      <c r="B2776" s="462"/>
      <c r="C2776" s="21"/>
      <c r="D2776" s="462"/>
    </row>
    <row r="2777" spans="1:4" x14ac:dyDescent="0.2">
      <c r="A2777" s="462"/>
      <c r="B2777" s="462"/>
      <c r="C2777" s="21"/>
      <c r="D2777" s="462"/>
    </row>
    <row r="2778" spans="1:4" x14ac:dyDescent="0.2">
      <c r="A2778" s="462"/>
      <c r="B2778" s="462"/>
      <c r="C2778" s="21"/>
      <c r="D2778" s="462"/>
    </row>
    <row r="2779" spans="1:4" x14ac:dyDescent="0.2">
      <c r="A2779" s="462"/>
      <c r="B2779" s="462"/>
      <c r="C2779" s="21"/>
      <c r="D2779" s="462"/>
    </row>
    <row r="2780" spans="1:4" x14ac:dyDescent="0.2">
      <c r="A2780" s="462"/>
      <c r="B2780" s="462"/>
      <c r="C2780" s="21"/>
      <c r="D2780" s="462"/>
    </row>
    <row r="2781" spans="1:4" x14ac:dyDescent="0.2">
      <c r="A2781" s="462"/>
      <c r="B2781" s="462"/>
      <c r="C2781" s="21"/>
      <c r="D2781" s="462"/>
    </row>
    <row r="2782" spans="1:4" x14ac:dyDescent="0.2">
      <c r="A2782" s="462"/>
      <c r="B2782" s="462"/>
      <c r="C2782" s="21"/>
      <c r="D2782" s="462"/>
    </row>
    <row r="2783" spans="1:4" x14ac:dyDescent="0.2">
      <c r="A2783" s="462"/>
      <c r="B2783" s="462"/>
      <c r="C2783" s="21"/>
      <c r="D2783" s="462"/>
    </row>
    <row r="2784" spans="1:4" x14ac:dyDescent="0.2">
      <c r="A2784" s="462"/>
      <c r="B2784" s="462"/>
      <c r="C2784" s="21"/>
      <c r="D2784" s="462"/>
    </row>
    <row r="2785" spans="1:4" x14ac:dyDescent="0.2">
      <c r="A2785" s="462"/>
      <c r="B2785" s="462"/>
      <c r="C2785" s="21"/>
      <c r="D2785" s="462"/>
    </row>
    <row r="2786" spans="1:4" x14ac:dyDescent="0.2">
      <c r="A2786" s="462"/>
      <c r="B2786" s="462"/>
      <c r="C2786" s="21"/>
      <c r="D2786" s="462"/>
    </row>
    <row r="2787" spans="1:4" x14ac:dyDescent="0.2">
      <c r="A2787" s="462"/>
      <c r="B2787" s="462"/>
      <c r="C2787" s="21"/>
      <c r="D2787" s="462"/>
    </row>
    <row r="2788" spans="1:4" x14ac:dyDescent="0.2">
      <c r="A2788" s="462"/>
      <c r="B2788" s="462"/>
      <c r="C2788" s="21"/>
      <c r="D2788" s="462"/>
    </row>
    <row r="2789" spans="1:4" x14ac:dyDescent="0.2">
      <c r="A2789" s="462"/>
      <c r="B2789" s="462"/>
      <c r="C2789" s="21"/>
      <c r="D2789" s="462"/>
    </row>
    <row r="2790" spans="1:4" x14ac:dyDescent="0.2">
      <c r="A2790" s="462"/>
      <c r="B2790" s="462"/>
      <c r="C2790" s="21"/>
      <c r="D2790" s="462"/>
    </row>
    <row r="2791" spans="1:4" x14ac:dyDescent="0.2">
      <c r="A2791" s="462"/>
      <c r="B2791" s="462"/>
      <c r="C2791" s="21"/>
      <c r="D2791" s="462"/>
    </row>
    <row r="2792" spans="1:4" x14ac:dyDescent="0.2">
      <c r="A2792" s="462"/>
      <c r="B2792" s="462"/>
      <c r="C2792" s="21"/>
      <c r="D2792" s="462"/>
    </row>
    <row r="2793" spans="1:4" x14ac:dyDescent="0.2">
      <c r="A2793" s="462"/>
      <c r="B2793" s="462"/>
      <c r="C2793" s="21"/>
      <c r="D2793" s="462"/>
    </row>
    <row r="2794" spans="1:4" x14ac:dyDescent="0.2">
      <c r="A2794" s="462"/>
      <c r="B2794" s="462"/>
      <c r="C2794" s="21"/>
      <c r="D2794" s="462"/>
    </row>
    <row r="2795" spans="1:4" x14ac:dyDescent="0.2">
      <c r="A2795" s="462"/>
      <c r="B2795" s="462"/>
      <c r="C2795" s="21"/>
      <c r="D2795" s="462"/>
    </row>
    <row r="2796" spans="1:4" x14ac:dyDescent="0.2">
      <c r="A2796" s="462"/>
      <c r="B2796" s="462"/>
      <c r="C2796" s="21"/>
      <c r="D2796" s="462"/>
    </row>
    <row r="2797" spans="1:4" x14ac:dyDescent="0.2">
      <c r="A2797" s="462"/>
      <c r="B2797" s="462"/>
      <c r="C2797" s="21"/>
      <c r="D2797" s="462"/>
    </row>
    <row r="2798" spans="1:4" x14ac:dyDescent="0.2">
      <c r="A2798" s="462"/>
      <c r="B2798" s="462"/>
      <c r="C2798" s="21"/>
      <c r="D2798" s="462"/>
    </row>
    <row r="2799" spans="1:4" x14ac:dyDescent="0.2">
      <c r="A2799" s="462"/>
      <c r="B2799" s="462"/>
      <c r="C2799" s="21"/>
      <c r="D2799" s="462"/>
    </row>
    <row r="2800" spans="1:4" x14ac:dyDescent="0.2">
      <c r="A2800" s="462"/>
      <c r="B2800" s="462"/>
      <c r="C2800" s="21"/>
      <c r="D2800" s="462"/>
    </row>
    <row r="2801" spans="1:4" x14ac:dyDescent="0.2">
      <c r="A2801" s="462"/>
      <c r="B2801" s="462"/>
      <c r="C2801" s="21"/>
      <c r="D2801" s="462"/>
    </row>
    <row r="2802" spans="1:4" x14ac:dyDescent="0.2">
      <c r="A2802" s="462"/>
      <c r="B2802" s="462"/>
      <c r="C2802" s="21"/>
      <c r="D2802" s="462"/>
    </row>
    <row r="2803" spans="1:4" x14ac:dyDescent="0.2">
      <c r="A2803" s="462"/>
      <c r="B2803" s="462"/>
      <c r="C2803" s="21"/>
      <c r="D2803" s="462"/>
    </row>
    <row r="2804" spans="1:4" x14ac:dyDescent="0.2">
      <c r="A2804" s="462"/>
      <c r="B2804" s="462"/>
      <c r="C2804" s="21"/>
      <c r="D2804" s="462"/>
    </row>
    <row r="2805" spans="1:4" x14ac:dyDescent="0.2">
      <c r="A2805" s="462"/>
      <c r="B2805" s="462"/>
      <c r="C2805" s="21"/>
      <c r="D2805" s="462"/>
    </row>
    <row r="2806" spans="1:4" x14ac:dyDescent="0.2">
      <c r="A2806" s="462"/>
      <c r="B2806" s="462"/>
      <c r="C2806" s="21"/>
      <c r="D2806" s="462"/>
    </row>
    <row r="2807" spans="1:4" x14ac:dyDescent="0.2">
      <c r="A2807" s="462"/>
      <c r="B2807" s="462"/>
      <c r="C2807" s="21"/>
      <c r="D2807" s="462"/>
    </row>
    <row r="2808" spans="1:4" x14ac:dyDescent="0.2">
      <c r="A2808" s="462"/>
      <c r="B2808" s="462"/>
      <c r="C2808" s="21"/>
      <c r="D2808" s="462"/>
    </row>
    <row r="2809" spans="1:4" x14ac:dyDescent="0.2">
      <c r="A2809" s="462"/>
      <c r="B2809" s="462"/>
      <c r="C2809" s="21"/>
      <c r="D2809" s="462"/>
    </row>
    <row r="2810" spans="1:4" x14ac:dyDescent="0.2">
      <c r="A2810" s="462"/>
      <c r="B2810" s="462"/>
      <c r="C2810" s="21"/>
      <c r="D2810" s="462"/>
    </row>
    <row r="2811" spans="1:4" x14ac:dyDescent="0.2">
      <c r="A2811" s="462"/>
      <c r="B2811" s="462"/>
      <c r="C2811" s="21"/>
      <c r="D2811" s="462"/>
    </row>
    <row r="2812" spans="1:4" x14ac:dyDescent="0.2">
      <c r="A2812" s="462"/>
      <c r="B2812" s="462"/>
      <c r="C2812" s="21"/>
      <c r="D2812" s="462"/>
    </row>
    <row r="2813" spans="1:4" x14ac:dyDescent="0.2">
      <c r="A2813" s="462"/>
      <c r="B2813" s="462"/>
      <c r="C2813" s="21"/>
      <c r="D2813" s="462"/>
    </row>
    <row r="2814" spans="1:4" x14ac:dyDescent="0.2">
      <c r="A2814" s="462"/>
      <c r="B2814" s="462"/>
      <c r="C2814" s="21"/>
      <c r="D2814" s="462"/>
    </row>
    <row r="2815" spans="1:4" x14ac:dyDescent="0.2">
      <c r="A2815" s="462"/>
      <c r="B2815" s="462"/>
      <c r="C2815" s="21"/>
      <c r="D2815" s="462"/>
    </row>
    <row r="2816" spans="1:4" x14ac:dyDescent="0.2">
      <c r="A2816" s="462"/>
      <c r="B2816" s="462"/>
      <c r="C2816" s="21"/>
      <c r="D2816" s="462"/>
    </row>
    <row r="2817" spans="1:4" x14ac:dyDescent="0.2">
      <c r="A2817" s="462"/>
      <c r="B2817" s="462"/>
      <c r="C2817" s="21"/>
      <c r="D2817" s="462"/>
    </row>
    <row r="2818" spans="1:4" x14ac:dyDescent="0.2">
      <c r="A2818" s="462"/>
      <c r="B2818" s="462"/>
      <c r="C2818" s="21"/>
      <c r="D2818" s="462"/>
    </row>
    <row r="2819" spans="1:4" x14ac:dyDescent="0.2">
      <c r="A2819" s="462"/>
      <c r="B2819" s="462"/>
      <c r="C2819" s="21"/>
      <c r="D2819" s="462"/>
    </row>
    <row r="2820" spans="1:4" x14ac:dyDescent="0.2">
      <c r="A2820" s="462"/>
      <c r="B2820" s="462"/>
      <c r="C2820" s="21"/>
      <c r="D2820" s="462"/>
    </row>
    <row r="2821" spans="1:4" x14ac:dyDescent="0.2">
      <c r="A2821" s="462"/>
      <c r="B2821" s="462"/>
      <c r="C2821" s="21"/>
      <c r="D2821" s="462"/>
    </row>
    <row r="2822" spans="1:4" x14ac:dyDescent="0.2">
      <c r="A2822" s="462"/>
      <c r="B2822" s="462"/>
      <c r="C2822" s="21"/>
      <c r="D2822" s="462"/>
    </row>
    <row r="2823" spans="1:4" x14ac:dyDescent="0.2">
      <c r="A2823" s="462"/>
      <c r="B2823" s="462"/>
      <c r="C2823" s="21"/>
      <c r="D2823" s="462"/>
    </row>
    <row r="2824" spans="1:4" x14ac:dyDescent="0.2">
      <c r="A2824" s="462"/>
      <c r="B2824" s="462"/>
      <c r="C2824" s="21"/>
      <c r="D2824" s="462"/>
    </row>
    <row r="2825" spans="1:4" x14ac:dyDescent="0.2">
      <c r="A2825" s="462"/>
      <c r="B2825" s="462"/>
      <c r="C2825" s="21"/>
      <c r="D2825" s="462"/>
    </row>
    <row r="2826" spans="1:4" x14ac:dyDescent="0.2">
      <c r="A2826" s="462"/>
      <c r="B2826" s="462"/>
      <c r="C2826" s="21"/>
      <c r="D2826" s="462"/>
    </row>
    <row r="2827" spans="1:4" x14ac:dyDescent="0.2">
      <c r="A2827" s="462"/>
      <c r="B2827" s="462"/>
      <c r="C2827" s="21"/>
      <c r="D2827" s="462"/>
    </row>
    <row r="2828" spans="1:4" x14ac:dyDescent="0.2">
      <c r="A2828" s="462"/>
      <c r="B2828" s="462"/>
      <c r="C2828" s="21"/>
      <c r="D2828" s="462"/>
    </row>
    <row r="2829" spans="1:4" x14ac:dyDescent="0.2">
      <c r="A2829" s="462"/>
      <c r="B2829" s="462"/>
      <c r="C2829" s="21"/>
      <c r="D2829" s="462"/>
    </row>
    <row r="2830" spans="1:4" x14ac:dyDescent="0.2">
      <c r="A2830" s="462"/>
      <c r="B2830" s="462"/>
      <c r="C2830" s="21"/>
      <c r="D2830" s="462"/>
    </row>
    <row r="2831" spans="1:4" x14ac:dyDescent="0.2">
      <c r="A2831" s="462"/>
      <c r="B2831" s="462"/>
      <c r="C2831" s="21"/>
      <c r="D2831" s="462"/>
    </row>
    <row r="2832" spans="1:4" x14ac:dyDescent="0.2">
      <c r="A2832" s="462"/>
      <c r="B2832" s="462"/>
      <c r="C2832" s="21"/>
      <c r="D2832" s="462"/>
    </row>
    <row r="2833" spans="1:4" x14ac:dyDescent="0.2">
      <c r="A2833" s="462"/>
      <c r="B2833" s="462"/>
      <c r="C2833" s="21"/>
      <c r="D2833" s="462"/>
    </row>
    <row r="2834" spans="1:4" x14ac:dyDescent="0.2">
      <c r="A2834" s="462"/>
      <c r="B2834" s="462"/>
      <c r="C2834" s="21"/>
      <c r="D2834" s="462"/>
    </row>
    <row r="2835" spans="1:4" x14ac:dyDescent="0.2">
      <c r="A2835" s="462"/>
      <c r="B2835" s="462"/>
      <c r="C2835" s="21"/>
      <c r="D2835" s="462"/>
    </row>
    <row r="2836" spans="1:4" x14ac:dyDescent="0.2">
      <c r="A2836" s="462"/>
      <c r="B2836" s="462"/>
      <c r="C2836" s="21"/>
      <c r="D2836" s="462"/>
    </row>
    <row r="2837" spans="1:4" x14ac:dyDescent="0.2">
      <c r="A2837" s="462"/>
      <c r="B2837" s="462"/>
      <c r="C2837" s="21"/>
      <c r="D2837" s="462"/>
    </row>
    <row r="2838" spans="1:4" x14ac:dyDescent="0.2">
      <c r="A2838" s="462"/>
      <c r="B2838" s="462"/>
      <c r="C2838" s="21"/>
      <c r="D2838" s="462"/>
    </row>
    <row r="2839" spans="1:4" x14ac:dyDescent="0.2">
      <c r="A2839" s="462"/>
      <c r="B2839" s="462"/>
      <c r="C2839" s="21"/>
      <c r="D2839" s="462"/>
    </row>
    <row r="2840" spans="1:4" x14ac:dyDescent="0.2">
      <c r="A2840" s="462"/>
      <c r="B2840" s="462"/>
      <c r="C2840" s="21"/>
      <c r="D2840" s="462"/>
    </row>
    <row r="2841" spans="1:4" x14ac:dyDescent="0.2">
      <c r="A2841" s="462"/>
      <c r="B2841" s="462"/>
      <c r="C2841" s="21"/>
      <c r="D2841" s="462"/>
    </row>
    <row r="2842" spans="1:4" x14ac:dyDescent="0.2">
      <c r="A2842" s="462"/>
      <c r="B2842" s="462"/>
      <c r="C2842" s="21"/>
      <c r="D2842" s="462"/>
    </row>
    <row r="2843" spans="1:4" x14ac:dyDescent="0.2">
      <c r="A2843" s="462"/>
      <c r="B2843" s="462"/>
      <c r="C2843" s="21"/>
      <c r="D2843" s="462"/>
    </row>
    <row r="2844" spans="1:4" x14ac:dyDescent="0.2">
      <c r="A2844" s="462"/>
      <c r="B2844" s="462"/>
      <c r="C2844" s="21"/>
      <c r="D2844" s="462"/>
    </row>
    <row r="2845" spans="1:4" x14ac:dyDescent="0.2">
      <c r="A2845" s="462"/>
      <c r="B2845" s="462"/>
      <c r="C2845" s="21"/>
      <c r="D2845" s="462"/>
    </row>
    <row r="2846" spans="1:4" x14ac:dyDescent="0.2">
      <c r="A2846" s="462"/>
      <c r="B2846" s="462"/>
      <c r="C2846" s="21"/>
      <c r="D2846" s="462"/>
    </row>
    <row r="2847" spans="1:4" x14ac:dyDescent="0.2">
      <c r="A2847" s="462"/>
      <c r="B2847" s="462"/>
      <c r="C2847" s="21"/>
      <c r="D2847" s="462"/>
    </row>
    <row r="2848" spans="1:4" x14ac:dyDescent="0.2">
      <c r="A2848" s="462"/>
      <c r="B2848" s="462"/>
      <c r="C2848" s="21"/>
      <c r="D2848" s="462"/>
    </row>
    <row r="2849" spans="1:4" x14ac:dyDescent="0.2">
      <c r="A2849" s="462"/>
      <c r="B2849" s="462"/>
      <c r="C2849" s="21"/>
      <c r="D2849" s="462"/>
    </row>
    <row r="2850" spans="1:4" x14ac:dyDescent="0.2">
      <c r="A2850" s="462"/>
      <c r="B2850" s="462"/>
      <c r="C2850" s="21"/>
      <c r="D2850" s="462"/>
    </row>
    <row r="2851" spans="1:4" x14ac:dyDescent="0.2">
      <c r="A2851" s="462"/>
      <c r="B2851" s="462"/>
      <c r="C2851" s="21"/>
      <c r="D2851" s="462"/>
    </row>
    <row r="2852" spans="1:4" x14ac:dyDescent="0.2">
      <c r="A2852" s="462"/>
      <c r="B2852" s="462"/>
      <c r="C2852" s="21"/>
      <c r="D2852" s="462"/>
    </row>
    <row r="2853" spans="1:4" x14ac:dyDescent="0.2">
      <c r="A2853" s="462"/>
      <c r="B2853" s="462"/>
      <c r="C2853" s="21"/>
      <c r="D2853" s="462"/>
    </row>
    <row r="2854" spans="1:4" x14ac:dyDescent="0.2">
      <c r="A2854" s="462"/>
      <c r="B2854" s="462"/>
      <c r="C2854" s="21"/>
      <c r="D2854" s="462"/>
    </row>
    <row r="2855" spans="1:4" x14ac:dyDescent="0.2">
      <c r="A2855" s="462"/>
      <c r="B2855" s="462"/>
      <c r="C2855" s="21"/>
      <c r="D2855" s="462"/>
    </row>
    <row r="2856" spans="1:4" x14ac:dyDescent="0.2">
      <c r="A2856" s="462"/>
      <c r="B2856" s="462"/>
      <c r="C2856" s="21"/>
      <c r="D2856" s="462"/>
    </row>
    <row r="2857" spans="1:4" x14ac:dyDescent="0.2">
      <c r="A2857" s="462"/>
      <c r="B2857" s="462"/>
      <c r="C2857" s="21"/>
      <c r="D2857" s="462"/>
    </row>
    <row r="2858" spans="1:4" x14ac:dyDescent="0.2">
      <c r="A2858" s="462"/>
      <c r="B2858" s="462"/>
      <c r="C2858" s="21"/>
      <c r="D2858" s="462"/>
    </row>
    <row r="2859" spans="1:4" x14ac:dyDescent="0.2">
      <c r="A2859" s="462"/>
      <c r="B2859" s="462"/>
      <c r="C2859" s="21"/>
      <c r="D2859" s="462"/>
    </row>
    <row r="2860" spans="1:4" x14ac:dyDescent="0.2">
      <c r="A2860" s="462"/>
      <c r="B2860" s="462"/>
      <c r="C2860" s="21"/>
      <c r="D2860" s="462"/>
    </row>
    <row r="2861" spans="1:4" x14ac:dyDescent="0.2">
      <c r="A2861" s="462"/>
      <c r="B2861" s="462"/>
      <c r="C2861" s="21"/>
      <c r="D2861" s="462"/>
    </row>
    <row r="2862" spans="1:4" x14ac:dyDescent="0.2">
      <c r="A2862" s="462"/>
      <c r="B2862" s="462"/>
      <c r="C2862" s="21"/>
      <c r="D2862" s="462"/>
    </row>
    <row r="2863" spans="1:4" x14ac:dyDescent="0.2">
      <c r="A2863" s="462"/>
      <c r="B2863" s="462"/>
      <c r="C2863" s="21"/>
      <c r="D2863" s="462"/>
    </row>
    <row r="2864" spans="1:4" x14ac:dyDescent="0.2">
      <c r="A2864" s="462"/>
      <c r="B2864" s="462"/>
      <c r="C2864" s="21"/>
      <c r="D2864" s="462"/>
    </row>
    <row r="2865" spans="1:4" x14ac:dyDescent="0.2">
      <c r="A2865" s="462"/>
      <c r="B2865" s="462"/>
      <c r="C2865" s="21"/>
      <c r="D2865" s="462"/>
    </row>
    <row r="2866" spans="1:4" x14ac:dyDescent="0.2">
      <c r="A2866" s="462"/>
      <c r="B2866" s="462"/>
      <c r="C2866" s="21"/>
      <c r="D2866" s="462"/>
    </row>
    <row r="2867" spans="1:4" x14ac:dyDescent="0.2">
      <c r="A2867" s="462"/>
      <c r="B2867" s="462"/>
      <c r="C2867" s="21"/>
      <c r="D2867" s="462"/>
    </row>
    <row r="2868" spans="1:4" x14ac:dyDescent="0.2">
      <c r="A2868" s="462"/>
      <c r="B2868" s="462"/>
      <c r="C2868" s="21"/>
      <c r="D2868" s="462"/>
    </row>
    <row r="2869" spans="1:4" x14ac:dyDescent="0.2">
      <c r="A2869" s="462"/>
      <c r="B2869" s="462"/>
      <c r="C2869" s="21"/>
      <c r="D2869" s="462"/>
    </row>
    <row r="2870" spans="1:4" x14ac:dyDescent="0.2">
      <c r="A2870" s="462"/>
      <c r="B2870" s="462"/>
      <c r="C2870" s="21"/>
      <c r="D2870" s="462"/>
    </row>
    <row r="2871" spans="1:4" x14ac:dyDescent="0.2">
      <c r="A2871" s="462"/>
      <c r="B2871" s="462"/>
      <c r="C2871" s="21"/>
      <c r="D2871" s="462"/>
    </row>
    <row r="2872" spans="1:4" x14ac:dyDescent="0.2">
      <c r="A2872" s="462"/>
      <c r="B2872" s="462"/>
      <c r="C2872" s="21"/>
      <c r="D2872" s="462"/>
    </row>
    <row r="2873" spans="1:4" x14ac:dyDescent="0.2">
      <c r="A2873" s="462"/>
      <c r="B2873" s="462"/>
      <c r="C2873" s="21"/>
      <c r="D2873" s="462"/>
    </row>
    <row r="2874" spans="1:4" x14ac:dyDescent="0.2">
      <c r="A2874" s="462"/>
      <c r="B2874" s="462"/>
      <c r="C2874" s="21"/>
      <c r="D2874" s="462"/>
    </row>
    <row r="2875" spans="1:4" x14ac:dyDescent="0.2">
      <c r="A2875" s="462"/>
      <c r="B2875" s="462"/>
      <c r="C2875" s="21"/>
      <c r="D2875" s="462"/>
    </row>
    <row r="2876" spans="1:4" x14ac:dyDescent="0.2">
      <c r="A2876" s="462"/>
      <c r="B2876" s="462"/>
      <c r="C2876" s="21"/>
      <c r="D2876" s="462"/>
    </row>
    <row r="2877" spans="1:4" x14ac:dyDescent="0.2">
      <c r="A2877" s="462"/>
      <c r="B2877" s="462"/>
      <c r="C2877" s="21"/>
      <c r="D2877" s="462"/>
    </row>
    <row r="2878" spans="1:4" x14ac:dyDescent="0.2">
      <c r="A2878" s="462"/>
      <c r="B2878" s="462"/>
      <c r="C2878" s="21"/>
      <c r="D2878" s="462"/>
    </row>
    <row r="2879" spans="1:4" x14ac:dyDescent="0.2">
      <c r="A2879" s="462"/>
      <c r="B2879" s="462"/>
      <c r="C2879" s="21"/>
      <c r="D2879" s="462"/>
    </row>
    <row r="2880" spans="1:4" x14ac:dyDescent="0.2">
      <c r="A2880" s="462"/>
      <c r="B2880" s="462"/>
      <c r="C2880" s="21"/>
      <c r="D2880" s="462"/>
    </row>
    <row r="2881" spans="1:4" x14ac:dyDescent="0.2">
      <c r="A2881" s="462"/>
      <c r="B2881" s="462"/>
      <c r="C2881" s="21"/>
      <c r="D2881" s="462"/>
    </row>
    <row r="2882" spans="1:4" x14ac:dyDescent="0.2">
      <c r="A2882" s="462"/>
      <c r="B2882" s="462"/>
      <c r="C2882" s="21"/>
      <c r="D2882" s="462"/>
    </row>
    <row r="2883" spans="1:4" x14ac:dyDescent="0.2">
      <c r="A2883" s="462"/>
      <c r="B2883" s="462"/>
      <c r="C2883" s="21"/>
      <c r="D2883" s="462"/>
    </row>
    <row r="2884" spans="1:4" x14ac:dyDescent="0.2">
      <c r="A2884" s="462"/>
      <c r="B2884" s="462"/>
      <c r="C2884" s="21"/>
      <c r="D2884" s="462"/>
    </row>
    <row r="2885" spans="1:4" x14ac:dyDescent="0.2">
      <c r="A2885" s="462"/>
      <c r="B2885" s="462"/>
      <c r="C2885" s="21"/>
      <c r="D2885" s="462"/>
    </row>
    <row r="2886" spans="1:4" x14ac:dyDescent="0.2">
      <c r="A2886" s="462"/>
      <c r="B2886" s="462"/>
      <c r="C2886" s="21"/>
      <c r="D2886" s="462"/>
    </row>
    <row r="2887" spans="1:4" x14ac:dyDescent="0.2">
      <c r="A2887" s="462"/>
      <c r="B2887" s="462"/>
      <c r="C2887" s="21"/>
      <c r="D2887" s="462"/>
    </row>
    <row r="2888" spans="1:4" x14ac:dyDescent="0.2">
      <c r="A2888" s="462"/>
      <c r="B2888" s="462"/>
      <c r="C2888" s="21"/>
      <c r="D2888" s="462"/>
    </row>
    <row r="2889" spans="1:4" x14ac:dyDescent="0.2">
      <c r="A2889" s="462"/>
      <c r="B2889" s="462"/>
      <c r="C2889" s="21"/>
      <c r="D2889" s="462"/>
    </row>
    <row r="2890" spans="1:4" x14ac:dyDescent="0.2">
      <c r="A2890" s="462"/>
      <c r="B2890" s="462"/>
      <c r="C2890" s="21"/>
      <c r="D2890" s="462"/>
    </row>
    <row r="2891" spans="1:4" x14ac:dyDescent="0.2">
      <c r="A2891" s="462"/>
      <c r="B2891" s="462"/>
      <c r="C2891" s="21"/>
      <c r="D2891" s="462"/>
    </row>
    <row r="2892" spans="1:4" x14ac:dyDescent="0.2">
      <c r="A2892" s="462"/>
      <c r="B2892" s="462"/>
      <c r="C2892" s="21"/>
      <c r="D2892" s="462"/>
    </row>
    <row r="2893" spans="1:4" x14ac:dyDescent="0.2">
      <c r="A2893" s="462"/>
      <c r="B2893" s="462"/>
      <c r="C2893" s="21"/>
      <c r="D2893" s="462"/>
    </row>
    <row r="2894" spans="1:4" x14ac:dyDescent="0.2">
      <c r="A2894" s="462"/>
      <c r="B2894" s="462"/>
      <c r="C2894" s="21"/>
      <c r="D2894" s="462"/>
    </row>
    <row r="2895" spans="1:4" x14ac:dyDescent="0.2">
      <c r="A2895" s="462"/>
      <c r="B2895" s="462"/>
      <c r="C2895" s="21"/>
      <c r="D2895" s="462"/>
    </row>
    <row r="2896" spans="1:4" x14ac:dyDescent="0.2">
      <c r="A2896" s="462"/>
      <c r="B2896" s="462"/>
      <c r="C2896" s="21"/>
      <c r="D2896" s="462"/>
    </row>
    <row r="2897" spans="1:4" x14ac:dyDescent="0.2">
      <c r="A2897" s="462"/>
      <c r="B2897" s="462"/>
      <c r="C2897" s="21"/>
      <c r="D2897" s="462"/>
    </row>
    <row r="2898" spans="1:4" x14ac:dyDescent="0.2">
      <c r="A2898" s="462"/>
      <c r="B2898" s="462"/>
      <c r="C2898" s="21"/>
      <c r="D2898" s="462"/>
    </row>
    <row r="2899" spans="1:4" x14ac:dyDescent="0.2">
      <c r="A2899" s="462"/>
      <c r="B2899" s="462"/>
      <c r="C2899" s="21"/>
      <c r="D2899" s="462"/>
    </row>
    <row r="2900" spans="1:4" x14ac:dyDescent="0.2">
      <c r="A2900" s="462"/>
      <c r="B2900" s="462"/>
      <c r="C2900" s="21"/>
      <c r="D2900" s="462"/>
    </row>
    <row r="2901" spans="1:4" x14ac:dyDescent="0.2">
      <c r="A2901" s="462"/>
      <c r="B2901" s="462"/>
      <c r="C2901" s="21"/>
      <c r="D2901" s="462"/>
    </row>
    <row r="2902" spans="1:4" x14ac:dyDescent="0.2">
      <c r="A2902" s="462"/>
      <c r="B2902" s="462"/>
      <c r="C2902" s="21"/>
      <c r="D2902" s="462"/>
    </row>
    <row r="2903" spans="1:4" x14ac:dyDescent="0.2">
      <c r="A2903" s="462"/>
      <c r="B2903" s="462"/>
      <c r="C2903" s="21"/>
      <c r="D2903" s="462"/>
    </row>
    <row r="2904" spans="1:4" x14ac:dyDescent="0.2">
      <c r="A2904" s="462"/>
      <c r="B2904" s="462"/>
      <c r="C2904" s="21"/>
      <c r="D2904" s="462"/>
    </row>
    <row r="2905" spans="1:4" x14ac:dyDescent="0.2">
      <c r="A2905" s="462"/>
      <c r="B2905" s="462"/>
      <c r="C2905" s="21"/>
      <c r="D2905" s="462"/>
    </row>
    <row r="2906" spans="1:4" x14ac:dyDescent="0.2">
      <c r="A2906" s="462"/>
      <c r="B2906" s="462"/>
      <c r="C2906" s="21"/>
      <c r="D2906" s="462"/>
    </row>
    <row r="2907" spans="1:4" x14ac:dyDescent="0.2">
      <c r="A2907" s="462"/>
      <c r="B2907" s="462"/>
      <c r="C2907" s="21"/>
      <c r="D2907" s="462"/>
    </row>
    <row r="2908" spans="1:4" x14ac:dyDescent="0.2">
      <c r="A2908" s="462"/>
      <c r="B2908" s="462"/>
      <c r="C2908" s="21"/>
      <c r="D2908" s="462"/>
    </row>
    <row r="2909" spans="1:4" x14ac:dyDescent="0.2">
      <c r="A2909" s="462"/>
      <c r="B2909" s="462"/>
      <c r="C2909" s="21"/>
      <c r="D2909" s="462"/>
    </row>
    <row r="2910" spans="1:4" x14ac:dyDescent="0.2">
      <c r="A2910" s="462"/>
      <c r="B2910" s="462"/>
      <c r="C2910" s="21"/>
      <c r="D2910" s="462"/>
    </row>
    <row r="2911" spans="1:4" x14ac:dyDescent="0.2">
      <c r="A2911" s="462"/>
      <c r="B2911" s="462"/>
      <c r="C2911" s="21"/>
      <c r="D2911" s="462"/>
    </row>
    <row r="2912" spans="1:4" x14ac:dyDescent="0.2">
      <c r="A2912" s="462"/>
      <c r="B2912" s="462"/>
      <c r="C2912" s="21"/>
      <c r="D2912" s="462"/>
    </row>
    <row r="2913" spans="1:4" x14ac:dyDescent="0.2">
      <c r="A2913" s="462"/>
      <c r="B2913" s="462"/>
      <c r="C2913" s="21"/>
      <c r="D2913" s="462"/>
    </row>
    <row r="2914" spans="1:4" x14ac:dyDescent="0.2">
      <c r="A2914" s="462"/>
      <c r="B2914" s="462"/>
      <c r="C2914" s="21"/>
      <c r="D2914" s="462"/>
    </row>
    <row r="2915" spans="1:4" x14ac:dyDescent="0.2">
      <c r="A2915" s="462"/>
      <c r="B2915" s="462"/>
      <c r="C2915" s="21"/>
      <c r="D2915" s="462"/>
    </row>
    <row r="2916" spans="1:4" x14ac:dyDescent="0.2">
      <c r="A2916" s="462"/>
      <c r="B2916" s="462"/>
      <c r="C2916" s="21"/>
      <c r="D2916" s="462"/>
    </row>
    <row r="2917" spans="1:4" x14ac:dyDescent="0.2">
      <c r="A2917" s="462"/>
      <c r="B2917" s="462"/>
      <c r="C2917" s="21"/>
      <c r="D2917" s="462"/>
    </row>
    <row r="2918" spans="1:4" x14ac:dyDescent="0.2">
      <c r="A2918" s="462"/>
      <c r="B2918" s="462"/>
      <c r="C2918" s="21"/>
      <c r="D2918" s="462"/>
    </row>
    <row r="2919" spans="1:4" x14ac:dyDescent="0.2">
      <c r="A2919" s="462"/>
      <c r="B2919" s="462"/>
      <c r="C2919" s="21"/>
      <c r="D2919" s="462"/>
    </row>
    <row r="2920" spans="1:4" x14ac:dyDescent="0.2">
      <c r="A2920" s="462"/>
      <c r="B2920" s="462"/>
      <c r="C2920" s="21"/>
      <c r="D2920" s="462"/>
    </row>
    <row r="2921" spans="1:4" x14ac:dyDescent="0.2">
      <c r="A2921" s="462"/>
      <c r="B2921" s="462"/>
      <c r="C2921" s="21"/>
      <c r="D2921" s="462"/>
    </row>
    <row r="2922" spans="1:4" x14ac:dyDescent="0.2">
      <c r="A2922" s="462"/>
      <c r="B2922" s="462"/>
      <c r="C2922" s="21"/>
      <c r="D2922" s="462"/>
    </row>
    <row r="2923" spans="1:4" x14ac:dyDescent="0.2">
      <c r="A2923" s="462"/>
      <c r="B2923" s="462"/>
      <c r="C2923" s="21"/>
      <c r="D2923" s="462"/>
    </row>
    <row r="2924" spans="1:4" x14ac:dyDescent="0.2">
      <c r="A2924" s="462"/>
      <c r="B2924" s="462"/>
      <c r="C2924" s="21"/>
      <c r="D2924" s="462"/>
    </row>
    <row r="2925" spans="1:4" x14ac:dyDescent="0.2">
      <c r="A2925" s="462"/>
      <c r="B2925" s="462"/>
      <c r="C2925" s="21"/>
      <c r="D2925" s="462"/>
    </row>
    <row r="2926" spans="1:4" x14ac:dyDescent="0.2">
      <c r="A2926" s="462"/>
      <c r="B2926" s="462"/>
      <c r="C2926" s="21"/>
      <c r="D2926" s="462"/>
    </row>
    <row r="2927" spans="1:4" x14ac:dyDescent="0.2">
      <c r="A2927" s="462"/>
      <c r="B2927" s="462"/>
      <c r="C2927" s="21"/>
      <c r="D2927" s="462"/>
    </row>
    <row r="2928" spans="1:4" x14ac:dyDescent="0.2">
      <c r="A2928" s="462"/>
      <c r="B2928" s="462"/>
      <c r="C2928" s="21"/>
      <c r="D2928" s="462"/>
    </row>
    <row r="2929" spans="1:4" x14ac:dyDescent="0.2">
      <c r="A2929" s="462"/>
      <c r="B2929" s="462"/>
      <c r="C2929" s="21"/>
      <c r="D2929" s="462"/>
    </row>
    <row r="2930" spans="1:4" x14ac:dyDescent="0.2">
      <c r="A2930" s="462"/>
      <c r="B2930" s="462"/>
      <c r="C2930" s="21"/>
      <c r="D2930" s="462"/>
    </row>
    <row r="2931" spans="1:4" x14ac:dyDescent="0.2">
      <c r="A2931" s="462"/>
      <c r="B2931" s="462"/>
      <c r="C2931" s="21"/>
      <c r="D2931" s="462"/>
    </row>
    <row r="2932" spans="1:4" x14ac:dyDescent="0.2">
      <c r="A2932" s="462"/>
      <c r="B2932" s="462"/>
      <c r="C2932" s="21"/>
      <c r="D2932" s="462"/>
    </row>
    <row r="2933" spans="1:4" x14ac:dyDescent="0.2">
      <c r="A2933" s="462"/>
      <c r="B2933" s="462"/>
      <c r="C2933" s="21"/>
      <c r="D2933" s="462"/>
    </row>
    <row r="2934" spans="1:4" x14ac:dyDescent="0.2">
      <c r="A2934" s="462"/>
      <c r="B2934" s="462"/>
      <c r="C2934" s="21"/>
      <c r="D2934" s="462"/>
    </row>
    <row r="2935" spans="1:4" x14ac:dyDescent="0.2">
      <c r="A2935" s="462"/>
      <c r="B2935" s="462"/>
      <c r="C2935" s="21"/>
      <c r="D2935" s="462"/>
    </row>
    <row r="2936" spans="1:4" x14ac:dyDescent="0.2">
      <c r="A2936" s="462"/>
      <c r="B2936" s="462"/>
      <c r="C2936" s="21"/>
      <c r="D2936" s="462"/>
    </row>
    <row r="2937" spans="1:4" x14ac:dyDescent="0.2">
      <c r="A2937" s="462"/>
      <c r="B2937" s="462"/>
      <c r="C2937" s="21"/>
      <c r="D2937" s="462"/>
    </row>
    <row r="2938" spans="1:4" x14ac:dyDescent="0.2">
      <c r="A2938" s="462"/>
      <c r="B2938" s="462"/>
      <c r="C2938" s="21"/>
      <c r="D2938" s="462"/>
    </row>
    <row r="2939" spans="1:4" x14ac:dyDescent="0.2">
      <c r="A2939" s="462"/>
      <c r="B2939" s="462"/>
      <c r="C2939" s="21"/>
      <c r="D2939" s="462"/>
    </row>
    <row r="2940" spans="1:4" x14ac:dyDescent="0.2">
      <c r="A2940" s="462"/>
      <c r="B2940" s="462"/>
      <c r="C2940" s="21"/>
      <c r="D2940" s="462"/>
    </row>
    <row r="2941" spans="1:4" x14ac:dyDescent="0.2">
      <c r="A2941" s="462"/>
      <c r="B2941" s="462"/>
      <c r="C2941" s="21"/>
      <c r="D2941" s="462"/>
    </row>
    <row r="2942" spans="1:4" x14ac:dyDescent="0.2">
      <c r="A2942" s="462"/>
      <c r="B2942" s="462"/>
      <c r="C2942" s="21"/>
      <c r="D2942" s="462"/>
    </row>
    <row r="2943" spans="1:4" x14ac:dyDescent="0.2">
      <c r="A2943" s="462"/>
      <c r="B2943" s="462"/>
      <c r="C2943" s="21"/>
      <c r="D2943" s="462"/>
    </row>
    <row r="2944" spans="1:4" x14ac:dyDescent="0.2">
      <c r="A2944" s="462"/>
      <c r="B2944" s="462"/>
      <c r="C2944" s="21"/>
      <c r="D2944" s="462"/>
    </row>
    <row r="2945" spans="1:4" x14ac:dyDescent="0.2">
      <c r="A2945" s="462"/>
      <c r="B2945" s="462"/>
      <c r="C2945" s="21"/>
      <c r="D2945" s="462"/>
    </row>
    <row r="2946" spans="1:4" x14ac:dyDescent="0.2">
      <c r="A2946" s="462"/>
      <c r="B2946" s="462"/>
      <c r="C2946" s="21"/>
      <c r="D2946" s="462"/>
    </row>
    <row r="2947" spans="1:4" x14ac:dyDescent="0.2">
      <c r="A2947" s="462"/>
      <c r="B2947" s="462"/>
      <c r="C2947" s="21"/>
      <c r="D2947" s="462"/>
    </row>
    <row r="2948" spans="1:4" x14ac:dyDescent="0.2">
      <c r="A2948" s="462"/>
      <c r="B2948" s="462"/>
      <c r="C2948" s="21"/>
      <c r="D2948" s="462"/>
    </row>
    <row r="2949" spans="1:4" x14ac:dyDescent="0.2">
      <c r="A2949" s="462"/>
      <c r="B2949" s="462"/>
      <c r="C2949" s="21"/>
      <c r="D2949" s="462"/>
    </row>
    <row r="2950" spans="1:4" x14ac:dyDescent="0.2">
      <c r="A2950" s="462"/>
      <c r="B2950" s="462"/>
      <c r="C2950" s="21"/>
      <c r="D2950" s="462"/>
    </row>
    <row r="2951" spans="1:4" x14ac:dyDescent="0.2">
      <c r="A2951" s="462"/>
      <c r="B2951" s="462"/>
      <c r="C2951" s="21"/>
      <c r="D2951" s="462"/>
    </row>
    <row r="2952" spans="1:4" x14ac:dyDescent="0.2">
      <c r="A2952" s="462"/>
      <c r="B2952" s="462"/>
      <c r="C2952" s="21"/>
      <c r="D2952" s="462"/>
    </row>
    <row r="2953" spans="1:4" x14ac:dyDescent="0.2">
      <c r="A2953" s="462"/>
      <c r="B2953" s="462"/>
      <c r="C2953" s="21"/>
      <c r="D2953" s="462"/>
    </row>
    <row r="2954" spans="1:4" x14ac:dyDescent="0.2">
      <c r="A2954" s="462"/>
      <c r="B2954" s="462"/>
      <c r="C2954" s="21"/>
      <c r="D2954" s="462"/>
    </row>
    <row r="2955" spans="1:4" x14ac:dyDescent="0.2">
      <c r="A2955" s="462"/>
      <c r="B2955" s="462"/>
      <c r="C2955" s="21"/>
      <c r="D2955" s="462"/>
    </row>
    <row r="2956" spans="1:4" x14ac:dyDescent="0.2">
      <c r="A2956" s="462"/>
      <c r="B2956" s="462"/>
      <c r="C2956" s="21"/>
      <c r="D2956" s="462"/>
    </row>
    <row r="2957" spans="1:4" x14ac:dyDescent="0.2">
      <c r="A2957" s="462"/>
      <c r="B2957" s="462"/>
      <c r="C2957" s="21"/>
      <c r="D2957" s="462"/>
    </row>
    <row r="2958" spans="1:4" x14ac:dyDescent="0.2">
      <c r="A2958" s="462"/>
      <c r="B2958" s="462"/>
      <c r="C2958" s="21"/>
      <c r="D2958" s="462"/>
    </row>
    <row r="2959" spans="1:4" x14ac:dyDescent="0.2">
      <c r="A2959" s="462"/>
      <c r="B2959" s="462"/>
      <c r="C2959" s="21"/>
      <c r="D2959" s="462"/>
    </row>
    <row r="2960" spans="1:4" x14ac:dyDescent="0.2">
      <c r="A2960" s="462"/>
      <c r="B2960" s="462"/>
      <c r="C2960" s="21"/>
      <c r="D2960" s="462"/>
    </row>
    <row r="2961" spans="1:4" x14ac:dyDescent="0.2">
      <c r="A2961" s="462"/>
      <c r="B2961" s="462"/>
      <c r="C2961" s="21"/>
      <c r="D2961" s="462"/>
    </row>
    <row r="2962" spans="1:4" x14ac:dyDescent="0.2">
      <c r="A2962" s="462"/>
      <c r="B2962" s="462"/>
      <c r="C2962" s="21"/>
      <c r="D2962" s="462"/>
    </row>
    <row r="2963" spans="1:4" x14ac:dyDescent="0.2">
      <c r="A2963" s="462"/>
      <c r="B2963" s="462"/>
      <c r="C2963" s="21"/>
      <c r="D2963" s="462"/>
    </row>
    <row r="2964" spans="1:4" x14ac:dyDescent="0.2">
      <c r="A2964" s="462"/>
      <c r="B2964" s="462"/>
      <c r="C2964" s="21"/>
      <c r="D2964" s="462"/>
    </row>
    <row r="2965" spans="1:4" x14ac:dyDescent="0.2">
      <c r="A2965" s="462"/>
      <c r="B2965" s="462"/>
      <c r="C2965" s="21"/>
      <c r="D2965" s="462"/>
    </row>
    <row r="2966" spans="1:4" x14ac:dyDescent="0.2">
      <c r="A2966" s="462"/>
      <c r="B2966" s="462"/>
      <c r="C2966" s="21"/>
      <c r="D2966" s="462"/>
    </row>
    <row r="2967" spans="1:4" x14ac:dyDescent="0.2">
      <c r="A2967" s="462"/>
      <c r="B2967" s="462"/>
      <c r="C2967" s="21"/>
      <c r="D2967" s="462"/>
    </row>
    <row r="2968" spans="1:4" x14ac:dyDescent="0.2">
      <c r="A2968" s="462"/>
      <c r="B2968" s="462"/>
      <c r="C2968" s="21"/>
      <c r="D2968" s="462"/>
    </row>
    <row r="2969" spans="1:4" x14ac:dyDescent="0.2">
      <c r="A2969" s="462"/>
      <c r="B2969" s="462"/>
      <c r="C2969" s="21"/>
      <c r="D2969" s="462"/>
    </row>
    <row r="2970" spans="1:4" x14ac:dyDescent="0.2">
      <c r="A2970" s="462"/>
      <c r="B2970" s="462"/>
      <c r="C2970" s="21"/>
      <c r="D2970" s="462"/>
    </row>
    <row r="2971" spans="1:4" x14ac:dyDescent="0.2">
      <c r="A2971" s="462"/>
      <c r="B2971" s="462"/>
      <c r="C2971" s="21"/>
      <c r="D2971" s="462"/>
    </row>
    <row r="2972" spans="1:4" x14ac:dyDescent="0.2">
      <c r="A2972" s="462"/>
      <c r="B2972" s="462"/>
      <c r="C2972" s="21"/>
      <c r="D2972" s="462"/>
    </row>
    <row r="2973" spans="1:4" x14ac:dyDescent="0.2">
      <c r="A2973" s="462"/>
      <c r="B2973" s="462"/>
      <c r="C2973" s="21"/>
      <c r="D2973" s="462"/>
    </row>
    <row r="2974" spans="1:4" x14ac:dyDescent="0.2">
      <c r="A2974" s="462"/>
      <c r="B2974" s="462"/>
      <c r="C2974" s="21"/>
      <c r="D2974" s="462"/>
    </row>
    <row r="2975" spans="1:4" x14ac:dyDescent="0.2">
      <c r="A2975" s="462"/>
      <c r="B2975" s="462"/>
      <c r="C2975" s="21"/>
      <c r="D2975" s="462"/>
    </row>
    <row r="2976" spans="1:4" x14ac:dyDescent="0.2">
      <c r="A2976" s="462"/>
      <c r="B2976" s="462"/>
      <c r="C2976" s="21"/>
      <c r="D2976" s="462"/>
    </row>
    <row r="2977" spans="1:4" x14ac:dyDescent="0.2">
      <c r="A2977" s="462"/>
      <c r="B2977" s="462"/>
      <c r="C2977" s="21"/>
      <c r="D2977" s="462"/>
    </row>
    <row r="2978" spans="1:4" x14ac:dyDescent="0.2">
      <c r="A2978" s="462"/>
      <c r="B2978" s="462"/>
      <c r="C2978" s="21"/>
      <c r="D2978" s="462"/>
    </row>
    <row r="2979" spans="1:4" x14ac:dyDescent="0.2">
      <c r="A2979" s="462"/>
      <c r="B2979" s="462"/>
      <c r="C2979" s="21"/>
      <c r="D2979" s="462"/>
    </row>
    <row r="2980" spans="1:4" x14ac:dyDescent="0.2">
      <c r="A2980" s="462"/>
      <c r="B2980" s="462"/>
      <c r="C2980" s="21"/>
      <c r="D2980" s="462"/>
    </row>
    <row r="2981" spans="1:4" x14ac:dyDescent="0.2">
      <c r="A2981" s="462"/>
      <c r="B2981" s="462"/>
      <c r="C2981" s="21"/>
      <c r="D2981" s="462"/>
    </row>
    <row r="2982" spans="1:4" x14ac:dyDescent="0.2">
      <c r="A2982" s="462"/>
      <c r="B2982" s="462"/>
      <c r="C2982" s="21"/>
      <c r="D2982" s="462"/>
    </row>
    <row r="2983" spans="1:4" x14ac:dyDescent="0.2">
      <c r="A2983" s="462"/>
      <c r="B2983" s="462"/>
      <c r="C2983" s="21"/>
      <c r="D2983" s="462"/>
    </row>
    <row r="2984" spans="1:4" x14ac:dyDescent="0.2">
      <c r="A2984" s="462"/>
      <c r="B2984" s="462"/>
      <c r="C2984" s="21"/>
      <c r="D2984" s="462"/>
    </row>
    <row r="2985" spans="1:4" x14ac:dyDescent="0.2">
      <c r="A2985" s="462"/>
      <c r="B2985" s="462"/>
      <c r="C2985" s="21"/>
      <c r="D2985" s="462"/>
    </row>
    <row r="2986" spans="1:4" x14ac:dyDescent="0.2">
      <c r="A2986" s="462"/>
      <c r="B2986" s="462"/>
      <c r="C2986" s="21"/>
      <c r="D2986" s="462"/>
    </row>
    <row r="2987" spans="1:4" x14ac:dyDescent="0.2">
      <c r="A2987" s="462"/>
      <c r="B2987" s="462"/>
      <c r="C2987" s="21"/>
      <c r="D2987" s="462"/>
    </row>
    <row r="2988" spans="1:4" x14ac:dyDescent="0.2">
      <c r="A2988" s="462"/>
      <c r="B2988" s="462"/>
      <c r="C2988" s="21"/>
      <c r="D2988" s="462"/>
    </row>
    <row r="2989" spans="1:4" x14ac:dyDescent="0.2">
      <c r="A2989" s="462"/>
      <c r="B2989" s="462"/>
      <c r="C2989" s="21"/>
      <c r="D2989" s="462"/>
    </row>
    <row r="2990" spans="1:4" x14ac:dyDescent="0.2">
      <c r="A2990" s="462"/>
      <c r="B2990" s="462"/>
      <c r="C2990" s="21"/>
      <c r="D2990" s="462"/>
    </row>
    <row r="2991" spans="1:4" x14ac:dyDescent="0.2">
      <c r="A2991" s="462"/>
      <c r="B2991" s="462"/>
      <c r="C2991" s="21"/>
      <c r="D2991" s="462"/>
    </row>
    <row r="2992" spans="1:4" x14ac:dyDescent="0.2">
      <c r="A2992" s="462"/>
      <c r="B2992" s="462"/>
      <c r="C2992" s="21"/>
      <c r="D2992" s="462"/>
    </row>
    <row r="2993" spans="1:4" x14ac:dyDescent="0.2">
      <c r="A2993" s="462"/>
      <c r="B2993" s="462"/>
      <c r="C2993" s="21"/>
      <c r="D2993" s="462"/>
    </row>
    <row r="2994" spans="1:4" x14ac:dyDescent="0.2">
      <c r="A2994" s="462"/>
      <c r="B2994" s="462"/>
      <c r="C2994" s="21"/>
      <c r="D2994" s="462"/>
    </row>
    <row r="2995" spans="1:4" x14ac:dyDescent="0.2">
      <c r="A2995" s="462"/>
      <c r="B2995" s="462"/>
      <c r="C2995" s="21"/>
      <c r="D2995" s="462"/>
    </row>
    <row r="2996" spans="1:4" x14ac:dyDescent="0.2">
      <c r="A2996" s="462"/>
      <c r="B2996" s="462"/>
      <c r="C2996" s="21"/>
      <c r="D2996" s="462"/>
    </row>
    <row r="2997" spans="1:4" x14ac:dyDescent="0.2">
      <c r="A2997" s="462"/>
      <c r="B2997" s="462"/>
      <c r="C2997" s="21"/>
      <c r="D2997" s="462"/>
    </row>
    <row r="2998" spans="1:4" x14ac:dyDescent="0.2">
      <c r="A2998" s="462"/>
      <c r="B2998" s="462"/>
      <c r="C2998" s="21"/>
      <c r="D2998" s="462"/>
    </row>
    <row r="2999" spans="1:4" x14ac:dyDescent="0.2">
      <c r="A2999" s="462"/>
      <c r="B2999" s="462"/>
      <c r="C2999" s="21"/>
      <c r="D2999" s="462"/>
    </row>
    <row r="3000" spans="1:4" x14ac:dyDescent="0.2">
      <c r="A3000" s="462"/>
      <c r="B3000" s="462"/>
      <c r="C3000" s="21"/>
      <c r="D3000" s="462"/>
    </row>
    <row r="3001" spans="1:4" x14ac:dyDescent="0.2">
      <c r="A3001" s="462"/>
      <c r="B3001" s="462"/>
      <c r="C3001" s="21"/>
      <c r="D3001" s="462"/>
    </row>
    <row r="3002" spans="1:4" x14ac:dyDescent="0.2">
      <c r="A3002" s="462"/>
      <c r="B3002" s="462"/>
      <c r="C3002" s="21"/>
      <c r="D3002" s="462"/>
    </row>
    <row r="3003" spans="1:4" x14ac:dyDescent="0.2">
      <c r="A3003" s="462"/>
      <c r="B3003" s="462"/>
      <c r="C3003" s="21"/>
      <c r="D3003" s="462"/>
    </row>
    <row r="3004" spans="1:4" x14ac:dyDescent="0.2">
      <c r="A3004" s="462"/>
      <c r="B3004" s="462"/>
      <c r="C3004" s="21"/>
      <c r="D3004" s="462"/>
    </row>
    <row r="3005" spans="1:4" x14ac:dyDescent="0.2">
      <c r="A3005" s="462"/>
      <c r="B3005" s="462"/>
      <c r="C3005" s="21"/>
      <c r="D3005" s="462"/>
    </row>
    <row r="3006" spans="1:4" x14ac:dyDescent="0.2">
      <c r="A3006" s="462"/>
      <c r="B3006" s="462"/>
      <c r="C3006" s="21"/>
      <c r="D3006" s="462"/>
    </row>
    <row r="3007" spans="1:4" x14ac:dyDescent="0.2">
      <c r="A3007" s="462"/>
      <c r="B3007" s="462"/>
      <c r="C3007" s="21"/>
      <c r="D3007" s="462"/>
    </row>
    <row r="3008" spans="1:4" x14ac:dyDescent="0.2">
      <c r="A3008" s="462"/>
      <c r="B3008" s="462"/>
      <c r="C3008" s="21"/>
      <c r="D3008" s="462"/>
    </row>
    <row r="3009" spans="1:4" x14ac:dyDescent="0.2">
      <c r="A3009" s="462"/>
      <c r="B3009" s="462"/>
      <c r="C3009" s="21"/>
      <c r="D3009" s="462"/>
    </row>
    <row r="3010" spans="1:4" x14ac:dyDescent="0.2">
      <c r="A3010" s="462"/>
      <c r="B3010" s="462"/>
      <c r="C3010" s="21"/>
      <c r="D3010" s="462"/>
    </row>
    <row r="3011" spans="1:4" x14ac:dyDescent="0.2">
      <c r="A3011" s="462"/>
      <c r="B3011" s="462"/>
      <c r="C3011" s="21"/>
      <c r="D3011" s="462"/>
    </row>
    <row r="3012" spans="1:4" x14ac:dyDescent="0.2">
      <c r="A3012" s="462"/>
      <c r="B3012" s="462"/>
      <c r="C3012" s="21"/>
      <c r="D3012" s="462"/>
    </row>
    <row r="3013" spans="1:4" x14ac:dyDescent="0.2">
      <c r="A3013" s="462"/>
      <c r="B3013" s="462"/>
      <c r="C3013" s="21"/>
      <c r="D3013" s="462"/>
    </row>
    <row r="3014" spans="1:4" x14ac:dyDescent="0.2">
      <c r="A3014" s="462"/>
      <c r="B3014" s="462"/>
      <c r="C3014" s="21"/>
      <c r="D3014" s="462"/>
    </row>
    <row r="3015" spans="1:4" x14ac:dyDescent="0.2">
      <c r="A3015" s="462"/>
      <c r="B3015" s="462"/>
      <c r="C3015" s="21"/>
      <c r="D3015" s="462"/>
    </row>
    <row r="3016" spans="1:4" x14ac:dyDescent="0.2">
      <c r="A3016" s="462"/>
      <c r="B3016" s="462"/>
      <c r="C3016" s="21"/>
      <c r="D3016" s="462"/>
    </row>
    <row r="3017" spans="1:4" x14ac:dyDescent="0.2">
      <c r="A3017" s="462"/>
      <c r="B3017" s="462"/>
      <c r="C3017" s="21"/>
      <c r="D3017" s="462"/>
    </row>
    <row r="3018" spans="1:4" x14ac:dyDescent="0.2">
      <c r="A3018" s="462"/>
      <c r="B3018" s="462"/>
      <c r="C3018" s="21"/>
      <c r="D3018" s="462"/>
    </row>
    <row r="3019" spans="1:4" x14ac:dyDescent="0.2">
      <c r="A3019" s="462"/>
      <c r="B3019" s="462"/>
      <c r="C3019" s="21"/>
      <c r="D3019" s="462"/>
    </row>
    <row r="3020" spans="1:4" x14ac:dyDescent="0.2">
      <c r="A3020" s="462"/>
      <c r="B3020" s="462"/>
      <c r="C3020" s="21"/>
      <c r="D3020" s="462"/>
    </row>
    <row r="3021" spans="1:4" x14ac:dyDescent="0.2">
      <c r="A3021" s="462"/>
      <c r="B3021" s="462"/>
      <c r="C3021" s="21"/>
      <c r="D3021" s="462"/>
    </row>
    <row r="3022" spans="1:4" x14ac:dyDescent="0.2">
      <c r="A3022" s="462"/>
      <c r="B3022" s="462"/>
      <c r="C3022" s="21"/>
      <c r="D3022" s="462"/>
    </row>
    <row r="3023" spans="1:4" x14ac:dyDescent="0.2">
      <c r="A3023" s="462"/>
      <c r="B3023" s="462"/>
      <c r="C3023" s="21"/>
      <c r="D3023" s="462"/>
    </row>
    <row r="3024" spans="1:4" x14ac:dyDescent="0.2">
      <c r="A3024" s="462"/>
      <c r="B3024" s="462"/>
      <c r="C3024" s="21"/>
      <c r="D3024" s="462"/>
    </row>
    <row r="3025" spans="1:4" x14ac:dyDescent="0.2">
      <c r="A3025" s="462"/>
      <c r="B3025" s="462"/>
      <c r="C3025" s="21"/>
      <c r="D3025" s="462"/>
    </row>
    <row r="3026" spans="1:4" x14ac:dyDescent="0.2">
      <c r="A3026" s="462"/>
      <c r="B3026" s="462"/>
      <c r="C3026" s="21"/>
      <c r="D3026" s="462"/>
    </row>
    <row r="3027" spans="1:4" x14ac:dyDescent="0.2">
      <c r="A3027" s="462"/>
      <c r="B3027" s="462"/>
      <c r="C3027" s="21"/>
      <c r="D3027" s="462"/>
    </row>
    <row r="3028" spans="1:4" x14ac:dyDescent="0.2">
      <c r="A3028" s="462"/>
      <c r="B3028" s="462"/>
      <c r="C3028" s="21"/>
      <c r="D3028" s="462"/>
    </row>
    <row r="3029" spans="1:4" x14ac:dyDescent="0.2">
      <c r="A3029" s="462"/>
      <c r="B3029" s="462"/>
      <c r="C3029" s="21"/>
      <c r="D3029" s="462"/>
    </row>
    <row r="3030" spans="1:4" x14ac:dyDescent="0.2">
      <c r="A3030" s="462"/>
      <c r="B3030" s="462"/>
      <c r="C3030" s="21"/>
      <c r="D3030" s="462"/>
    </row>
    <row r="3031" spans="1:4" x14ac:dyDescent="0.2">
      <c r="A3031" s="462"/>
      <c r="B3031" s="462"/>
      <c r="C3031" s="21"/>
      <c r="D3031" s="462"/>
    </row>
    <row r="3032" spans="1:4" x14ac:dyDescent="0.2">
      <c r="A3032" s="462"/>
      <c r="B3032" s="462"/>
      <c r="C3032" s="21"/>
      <c r="D3032" s="462"/>
    </row>
    <row r="3033" spans="1:4" x14ac:dyDescent="0.2">
      <c r="A3033" s="462"/>
      <c r="B3033" s="462"/>
      <c r="C3033" s="21"/>
      <c r="D3033" s="462"/>
    </row>
    <row r="3034" spans="1:4" x14ac:dyDescent="0.2">
      <c r="A3034" s="462"/>
      <c r="B3034" s="462"/>
      <c r="C3034" s="21"/>
      <c r="D3034" s="462"/>
    </row>
    <row r="3035" spans="1:4" x14ac:dyDescent="0.2">
      <c r="A3035" s="462"/>
      <c r="B3035" s="462"/>
      <c r="C3035" s="21"/>
      <c r="D3035" s="462"/>
    </row>
    <row r="3036" spans="1:4" x14ac:dyDescent="0.2">
      <c r="A3036" s="462"/>
      <c r="B3036" s="462"/>
      <c r="C3036" s="21"/>
      <c r="D3036" s="462"/>
    </row>
    <row r="3037" spans="1:4" x14ac:dyDescent="0.2">
      <c r="A3037" s="462"/>
      <c r="B3037" s="462"/>
      <c r="C3037" s="21"/>
      <c r="D3037" s="462"/>
    </row>
    <row r="3038" spans="1:4" x14ac:dyDescent="0.2">
      <c r="A3038" s="462"/>
      <c r="B3038" s="462"/>
      <c r="C3038" s="21"/>
      <c r="D3038" s="462"/>
    </row>
    <row r="3039" spans="1:4" x14ac:dyDescent="0.2">
      <c r="A3039" s="462"/>
      <c r="B3039" s="462"/>
      <c r="C3039" s="21"/>
      <c r="D3039" s="462"/>
    </row>
    <row r="3040" spans="1:4" x14ac:dyDescent="0.2">
      <c r="A3040" s="462"/>
      <c r="B3040" s="462"/>
      <c r="C3040" s="21"/>
      <c r="D3040" s="462"/>
    </row>
    <row r="3041" spans="1:4" x14ac:dyDescent="0.2">
      <c r="A3041" s="462"/>
      <c r="B3041" s="462"/>
      <c r="C3041" s="21"/>
      <c r="D3041" s="462"/>
    </row>
    <row r="3042" spans="1:4" x14ac:dyDescent="0.2">
      <c r="A3042" s="462"/>
      <c r="B3042" s="462"/>
      <c r="C3042" s="21"/>
      <c r="D3042" s="462"/>
    </row>
    <row r="3043" spans="1:4" x14ac:dyDescent="0.2">
      <c r="A3043" s="462"/>
      <c r="B3043" s="462"/>
      <c r="C3043" s="21"/>
      <c r="D3043" s="462"/>
    </row>
    <row r="3044" spans="1:4" x14ac:dyDescent="0.2">
      <c r="A3044" s="462"/>
      <c r="B3044" s="462"/>
      <c r="C3044" s="21"/>
      <c r="D3044" s="462"/>
    </row>
    <row r="3045" spans="1:4" x14ac:dyDescent="0.2">
      <c r="A3045" s="462"/>
      <c r="B3045" s="462"/>
      <c r="C3045" s="21"/>
      <c r="D3045" s="462"/>
    </row>
    <row r="3046" spans="1:4" x14ac:dyDescent="0.2">
      <c r="A3046" s="462"/>
      <c r="B3046" s="462"/>
      <c r="C3046" s="21"/>
      <c r="D3046" s="462"/>
    </row>
    <row r="3047" spans="1:4" x14ac:dyDescent="0.2">
      <c r="A3047" s="462"/>
      <c r="B3047" s="462"/>
      <c r="C3047" s="21"/>
      <c r="D3047" s="462"/>
    </row>
    <row r="3048" spans="1:4" x14ac:dyDescent="0.2">
      <c r="A3048" s="462"/>
      <c r="B3048" s="462"/>
      <c r="C3048" s="21"/>
      <c r="D3048" s="462"/>
    </row>
    <row r="3049" spans="1:4" x14ac:dyDescent="0.2">
      <c r="A3049" s="462"/>
      <c r="B3049" s="462"/>
      <c r="C3049" s="21"/>
      <c r="D3049" s="462"/>
    </row>
    <row r="3050" spans="1:4" x14ac:dyDescent="0.2">
      <c r="A3050" s="462"/>
      <c r="B3050" s="462"/>
      <c r="C3050" s="21"/>
      <c r="D3050" s="462"/>
    </row>
    <row r="3051" spans="1:4" x14ac:dyDescent="0.2">
      <c r="A3051" s="462"/>
      <c r="B3051" s="462"/>
      <c r="C3051" s="21"/>
      <c r="D3051" s="462"/>
    </row>
    <row r="3052" spans="1:4" x14ac:dyDescent="0.2">
      <c r="A3052" s="462"/>
      <c r="B3052" s="462"/>
      <c r="C3052" s="21"/>
      <c r="D3052" s="462"/>
    </row>
    <row r="3053" spans="1:4" x14ac:dyDescent="0.2">
      <c r="A3053" s="462"/>
      <c r="B3053" s="462"/>
      <c r="C3053" s="21"/>
      <c r="D3053" s="462"/>
    </row>
    <row r="3054" spans="1:4" x14ac:dyDescent="0.2">
      <c r="A3054" s="462"/>
      <c r="B3054" s="462"/>
      <c r="C3054" s="21"/>
      <c r="D3054" s="462"/>
    </row>
    <row r="3055" spans="1:4" x14ac:dyDescent="0.2">
      <c r="A3055" s="462"/>
      <c r="B3055" s="462"/>
      <c r="C3055" s="21"/>
      <c r="D3055" s="462"/>
    </row>
    <row r="3056" spans="1:4" x14ac:dyDescent="0.2">
      <c r="A3056" s="462"/>
      <c r="B3056" s="462"/>
      <c r="C3056" s="21"/>
      <c r="D3056" s="462"/>
    </row>
    <row r="3057" spans="1:4" x14ac:dyDescent="0.2">
      <c r="A3057" s="462"/>
      <c r="B3057" s="462"/>
      <c r="C3057" s="21"/>
      <c r="D3057" s="462"/>
    </row>
    <row r="3058" spans="1:4" x14ac:dyDescent="0.2">
      <c r="A3058" s="462"/>
      <c r="B3058" s="462"/>
      <c r="C3058" s="21"/>
      <c r="D3058" s="462"/>
    </row>
    <row r="3059" spans="1:4" x14ac:dyDescent="0.2">
      <c r="A3059" s="462"/>
      <c r="B3059" s="462"/>
      <c r="C3059" s="21"/>
      <c r="D3059" s="462"/>
    </row>
    <row r="3060" spans="1:4" x14ac:dyDescent="0.2">
      <c r="A3060" s="462"/>
      <c r="B3060" s="462"/>
      <c r="C3060" s="21"/>
      <c r="D3060" s="462"/>
    </row>
    <row r="3061" spans="1:4" x14ac:dyDescent="0.2">
      <c r="A3061" s="462"/>
      <c r="B3061" s="462"/>
      <c r="C3061" s="21"/>
      <c r="D3061" s="462"/>
    </row>
    <row r="3062" spans="1:4" x14ac:dyDescent="0.2">
      <c r="A3062" s="462"/>
      <c r="B3062" s="462"/>
      <c r="C3062" s="21"/>
      <c r="D3062" s="462"/>
    </row>
    <row r="3063" spans="1:4" x14ac:dyDescent="0.2">
      <c r="A3063" s="462"/>
      <c r="B3063" s="462"/>
      <c r="C3063" s="21"/>
      <c r="D3063" s="462"/>
    </row>
    <row r="3064" spans="1:4" x14ac:dyDescent="0.2">
      <c r="A3064" s="462"/>
      <c r="B3064" s="462"/>
      <c r="C3064" s="21"/>
      <c r="D3064" s="462"/>
    </row>
    <row r="3065" spans="1:4" x14ac:dyDescent="0.2">
      <c r="A3065" s="462"/>
      <c r="B3065" s="462"/>
      <c r="C3065" s="21"/>
      <c r="D3065" s="462"/>
    </row>
    <row r="3066" spans="1:4" x14ac:dyDescent="0.2">
      <c r="A3066" s="462"/>
      <c r="B3066" s="462"/>
      <c r="C3066" s="21"/>
      <c r="D3066" s="462"/>
    </row>
    <row r="3067" spans="1:4" x14ac:dyDescent="0.2">
      <c r="A3067" s="462"/>
      <c r="B3067" s="462"/>
      <c r="C3067" s="21"/>
      <c r="D3067" s="462"/>
    </row>
    <row r="3068" spans="1:4" x14ac:dyDescent="0.2">
      <c r="A3068" s="462"/>
      <c r="B3068" s="462"/>
      <c r="C3068" s="21"/>
      <c r="D3068" s="462"/>
    </row>
    <row r="3069" spans="1:4" x14ac:dyDescent="0.2">
      <c r="A3069" s="462"/>
      <c r="B3069" s="462"/>
      <c r="C3069" s="21"/>
      <c r="D3069" s="462"/>
    </row>
    <row r="3070" spans="1:4" x14ac:dyDescent="0.2">
      <c r="A3070" s="462"/>
      <c r="B3070" s="462"/>
      <c r="C3070" s="21"/>
      <c r="D3070" s="462"/>
    </row>
    <row r="3071" spans="1:4" x14ac:dyDescent="0.2">
      <c r="A3071" s="462"/>
      <c r="B3071" s="462"/>
      <c r="C3071" s="21"/>
      <c r="D3071" s="462"/>
    </row>
    <row r="3072" spans="1:4" x14ac:dyDescent="0.2">
      <c r="A3072" s="462"/>
      <c r="B3072" s="462"/>
      <c r="C3072" s="21"/>
      <c r="D3072" s="462"/>
    </row>
    <row r="3073" spans="1:4" x14ac:dyDescent="0.2">
      <c r="A3073" s="462"/>
      <c r="B3073" s="462"/>
      <c r="C3073" s="21"/>
      <c r="D3073" s="462"/>
    </row>
    <row r="3074" spans="1:4" x14ac:dyDescent="0.2">
      <c r="A3074" s="462"/>
      <c r="B3074" s="462"/>
      <c r="C3074" s="21"/>
      <c r="D3074" s="462"/>
    </row>
    <row r="3075" spans="1:4" x14ac:dyDescent="0.2">
      <c r="A3075" s="462"/>
      <c r="B3075" s="462"/>
      <c r="C3075" s="21"/>
      <c r="D3075" s="462"/>
    </row>
    <row r="3076" spans="1:4" x14ac:dyDescent="0.2">
      <c r="A3076" s="462"/>
      <c r="B3076" s="462"/>
      <c r="C3076" s="21"/>
      <c r="D3076" s="462"/>
    </row>
    <row r="3077" spans="1:4" x14ac:dyDescent="0.2">
      <c r="A3077" s="462"/>
      <c r="B3077" s="462"/>
      <c r="C3077" s="21"/>
      <c r="D3077" s="462"/>
    </row>
    <row r="3078" spans="1:4" x14ac:dyDescent="0.2">
      <c r="A3078" s="462"/>
      <c r="B3078" s="462"/>
      <c r="C3078" s="21"/>
      <c r="D3078" s="462"/>
    </row>
    <row r="3079" spans="1:4" x14ac:dyDescent="0.2">
      <c r="A3079" s="462"/>
      <c r="B3079" s="462"/>
      <c r="C3079" s="21"/>
      <c r="D3079" s="462"/>
    </row>
    <row r="3080" spans="1:4" x14ac:dyDescent="0.2">
      <c r="A3080" s="462"/>
      <c r="B3080" s="462"/>
      <c r="C3080" s="21"/>
      <c r="D3080" s="462"/>
    </row>
    <row r="3081" spans="1:4" x14ac:dyDescent="0.2">
      <c r="A3081" s="462"/>
      <c r="B3081" s="462"/>
      <c r="C3081" s="21"/>
      <c r="D3081" s="462"/>
    </row>
    <row r="3082" spans="1:4" x14ac:dyDescent="0.2">
      <c r="A3082" s="462"/>
      <c r="B3082" s="462"/>
      <c r="C3082" s="21"/>
      <c r="D3082" s="462"/>
    </row>
    <row r="3083" spans="1:4" x14ac:dyDescent="0.2">
      <c r="A3083" s="462"/>
      <c r="B3083" s="462"/>
      <c r="C3083" s="21"/>
      <c r="D3083" s="462"/>
    </row>
    <row r="3084" spans="1:4" x14ac:dyDescent="0.2">
      <c r="A3084" s="462"/>
      <c r="B3084" s="462"/>
      <c r="C3084" s="21"/>
      <c r="D3084" s="462"/>
    </row>
    <row r="3085" spans="1:4" x14ac:dyDescent="0.2">
      <c r="A3085" s="462"/>
      <c r="B3085" s="462"/>
      <c r="C3085" s="21"/>
      <c r="D3085" s="462"/>
    </row>
    <row r="3086" spans="1:4" x14ac:dyDescent="0.2">
      <c r="A3086" s="462"/>
      <c r="B3086" s="462"/>
      <c r="C3086" s="21"/>
      <c r="D3086" s="462"/>
    </row>
    <row r="3087" spans="1:4" x14ac:dyDescent="0.2">
      <c r="A3087" s="462"/>
      <c r="B3087" s="462"/>
      <c r="C3087" s="21"/>
      <c r="D3087" s="462"/>
    </row>
    <row r="3088" spans="1:4" x14ac:dyDescent="0.2">
      <c r="A3088" s="462"/>
      <c r="B3088" s="462"/>
      <c r="C3088" s="21"/>
      <c r="D3088" s="462"/>
    </row>
    <row r="3089" spans="1:4" x14ac:dyDescent="0.2">
      <c r="A3089" s="462"/>
      <c r="B3089" s="462"/>
      <c r="C3089" s="21"/>
      <c r="D3089" s="462"/>
    </row>
    <row r="3090" spans="1:4" x14ac:dyDescent="0.2">
      <c r="A3090" s="462"/>
      <c r="B3090" s="462"/>
      <c r="C3090" s="21"/>
      <c r="D3090" s="462"/>
    </row>
    <row r="3091" spans="1:4" x14ac:dyDescent="0.2">
      <c r="A3091" s="462"/>
      <c r="B3091" s="462"/>
      <c r="C3091" s="21"/>
      <c r="D3091" s="462"/>
    </row>
    <row r="3092" spans="1:4" x14ac:dyDescent="0.2">
      <c r="A3092" s="462"/>
      <c r="B3092" s="462"/>
      <c r="C3092" s="21"/>
      <c r="D3092" s="462"/>
    </row>
    <row r="3093" spans="1:4" x14ac:dyDescent="0.2">
      <c r="A3093" s="462"/>
      <c r="B3093" s="462"/>
      <c r="C3093" s="21"/>
      <c r="D3093" s="462"/>
    </row>
    <row r="3094" spans="1:4" x14ac:dyDescent="0.2">
      <c r="A3094" s="462"/>
      <c r="B3094" s="462"/>
      <c r="C3094" s="21"/>
      <c r="D3094" s="462"/>
    </row>
    <row r="3095" spans="1:4" x14ac:dyDescent="0.2">
      <c r="A3095" s="462"/>
      <c r="B3095" s="462"/>
      <c r="C3095" s="21"/>
      <c r="D3095" s="462"/>
    </row>
    <row r="3096" spans="1:4" x14ac:dyDescent="0.2">
      <c r="A3096" s="462"/>
      <c r="B3096" s="462"/>
      <c r="C3096" s="21"/>
      <c r="D3096" s="462"/>
    </row>
    <row r="3097" spans="1:4" x14ac:dyDescent="0.2">
      <c r="A3097" s="462"/>
      <c r="B3097" s="462"/>
      <c r="C3097" s="21"/>
      <c r="D3097" s="462"/>
    </row>
    <row r="3098" spans="1:4" x14ac:dyDescent="0.2">
      <c r="A3098" s="462"/>
      <c r="B3098" s="462"/>
      <c r="C3098" s="21"/>
      <c r="D3098" s="462"/>
    </row>
    <row r="3099" spans="1:4" x14ac:dyDescent="0.2">
      <c r="A3099" s="462"/>
      <c r="B3099" s="462"/>
      <c r="C3099" s="21"/>
      <c r="D3099" s="462"/>
    </row>
    <row r="3100" spans="1:4" x14ac:dyDescent="0.2">
      <c r="A3100" s="462"/>
      <c r="B3100" s="462"/>
      <c r="C3100" s="21"/>
      <c r="D3100" s="462"/>
    </row>
    <row r="3101" spans="1:4" x14ac:dyDescent="0.2">
      <c r="A3101" s="462"/>
      <c r="B3101" s="462"/>
      <c r="C3101" s="21"/>
      <c r="D3101" s="462"/>
    </row>
    <row r="3102" spans="1:4" x14ac:dyDescent="0.2">
      <c r="A3102" s="462"/>
      <c r="B3102" s="462"/>
      <c r="C3102" s="21"/>
      <c r="D3102" s="462"/>
    </row>
    <row r="3103" spans="1:4" x14ac:dyDescent="0.2">
      <c r="A3103" s="462"/>
      <c r="B3103" s="462"/>
      <c r="C3103" s="21"/>
      <c r="D3103" s="462"/>
    </row>
    <row r="3104" spans="1:4" x14ac:dyDescent="0.2">
      <c r="A3104" s="462"/>
      <c r="B3104" s="462"/>
      <c r="C3104" s="21"/>
      <c r="D3104" s="462"/>
    </row>
    <row r="3105" spans="1:4" x14ac:dyDescent="0.2">
      <c r="A3105" s="462"/>
      <c r="B3105" s="462"/>
      <c r="C3105" s="21"/>
      <c r="D3105" s="462"/>
    </row>
    <row r="3106" spans="1:4" x14ac:dyDescent="0.2">
      <c r="A3106" s="462"/>
      <c r="B3106" s="462"/>
      <c r="C3106" s="21"/>
      <c r="D3106" s="462"/>
    </row>
    <row r="3107" spans="1:4" x14ac:dyDescent="0.2">
      <c r="A3107" s="462"/>
      <c r="B3107" s="462"/>
      <c r="C3107" s="21"/>
      <c r="D3107" s="462"/>
    </row>
    <row r="3108" spans="1:4" x14ac:dyDescent="0.2">
      <c r="A3108" s="462"/>
      <c r="B3108" s="462"/>
      <c r="C3108" s="21"/>
      <c r="D3108" s="462"/>
    </row>
    <row r="3109" spans="1:4" x14ac:dyDescent="0.2">
      <c r="A3109" s="462"/>
      <c r="B3109" s="462"/>
      <c r="C3109" s="21"/>
      <c r="D3109" s="462"/>
    </row>
    <row r="3110" spans="1:4" x14ac:dyDescent="0.2">
      <c r="A3110" s="462"/>
      <c r="B3110" s="462"/>
      <c r="C3110" s="21"/>
      <c r="D3110" s="462"/>
    </row>
    <row r="3111" spans="1:4" x14ac:dyDescent="0.2">
      <c r="A3111" s="462"/>
      <c r="B3111" s="462"/>
      <c r="C3111" s="21"/>
      <c r="D3111" s="462"/>
    </row>
    <row r="3112" spans="1:4" x14ac:dyDescent="0.2">
      <c r="A3112" s="462"/>
      <c r="B3112" s="462"/>
      <c r="C3112" s="21"/>
      <c r="D3112" s="462"/>
    </row>
    <row r="3113" spans="1:4" x14ac:dyDescent="0.2">
      <c r="A3113" s="462"/>
      <c r="B3113" s="462"/>
      <c r="C3113" s="21"/>
      <c r="D3113" s="462"/>
    </row>
    <row r="3114" spans="1:4" x14ac:dyDescent="0.2">
      <c r="A3114" s="462"/>
      <c r="B3114" s="462"/>
      <c r="C3114" s="21"/>
      <c r="D3114" s="462"/>
    </row>
    <row r="3115" spans="1:4" x14ac:dyDescent="0.2">
      <c r="A3115" s="462"/>
      <c r="B3115" s="462"/>
      <c r="C3115" s="21"/>
      <c r="D3115" s="462"/>
    </row>
    <row r="3116" spans="1:4" x14ac:dyDescent="0.2">
      <c r="A3116" s="462"/>
      <c r="B3116" s="462"/>
      <c r="C3116" s="21"/>
      <c r="D3116" s="462"/>
    </row>
    <row r="3117" spans="1:4" x14ac:dyDescent="0.2">
      <c r="A3117" s="462"/>
      <c r="B3117" s="462"/>
      <c r="C3117" s="21"/>
      <c r="D3117" s="462"/>
    </row>
    <row r="3118" spans="1:4" x14ac:dyDescent="0.2">
      <c r="A3118" s="462"/>
      <c r="B3118" s="462"/>
      <c r="C3118" s="21"/>
      <c r="D3118" s="462"/>
    </row>
    <row r="3119" spans="1:4" x14ac:dyDescent="0.2">
      <c r="A3119" s="462"/>
      <c r="B3119" s="462"/>
      <c r="C3119" s="21"/>
      <c r="D3119" s="462"/>
    </row>
    <row r="3120" spans="1:4" x14ac:dyDescent="0.2">
      <c r="A3120" s="462"/>
      <c r="B3120" s="462"/>
      <c r="C3120" s="21"/>
      <c r="D3120" s="462"/>
    </row>
    <row r="3121" spans="1:4" x14ac:dyDescent="0.2">
      <c r="A3121" s="462"/>
      <c r="B3121" s="462"/>
      <c r="C3121" s="21"/>
      <c r="D3121" s="462"/>
    </row>
    <row r="3122" spans="1:4" x14ac:dyDescent="0.2">
      <c r="A3122" s="462"/>
      <c r="B3122" s="462"/>
      <c r="C3122" s="21"/>
      <c r="D3122" s="462"/>
    </row>
    <row r="3123" spans="1:4" x14ac:dyDescent="0.2">
      <c r="A3123" s="462"/>
      <c r="B3123" s="462"/>
      <c r="C3123" s="21"/>
      <c r="D3123" s="462"/>
    </row>
    <row r="3124" spans="1:4" x14ac:dyDescent="0.2">
      <c r="A3124" s="462"/>
      <c r="B3124" s="462"/>
      <c r="C3124" s="21"/>
      <c r="D3124" s="462"/>
    </row>
    <row r="3125" spans="1:4" x14ac:dyDescent="0.2">
      <c r="A3125" s="462"/>
      <c r="B3125" s="462"/>
      <c r="C3125" s="21"/>
      <c r="D3125" s="462"/>
    </row>
    <row r="3126" spans="1:4" x14ac:dyDescent="0.2">
      <c r="A3126" s="462"/>
      <c r="B3126" s="462"/>
      <c r="C3126" s="21"/>
      <c r="D3126" s="462"/>
    </row>
    <row r="3127" spans="1:4" x14ac:dyDescent="0.2">
      <c r="A3127" s="462"/>
      <c r="B3127" s="462"/>
      <c r="C3127" s="21"/>
      <c r="D3127" s="462"/>
    </row>
    <row r="3128" spans="1:4" x14ac:dyDescent="0.2">
      <c r="A3128" s="462"/>
      <c r="B3128" s="462"/>
      <c r="C3128" s="21"/>
      <c r="D3128" s="462"/>
    </row>
    <row r="3129" spans="1:4" x14ac:dyDescent="0.2">
      <c r="A3129" s="462"/>
      <c r="B3129" s="462"/>
      <c r="C3129" s="21"/>
      <c r="D3129" s="462"/>
    </row>
    <row r="3130" spans="1:4" x14ac:dyDescent="0.2">
      <c r="A3130" s="462"/>
      <c r="B3130" s="462"/>
      <c r="C3130" s="21"/>
      <c r="D3130" s="462"/>
    </row>
    <row r="3131" spans="1:4" x14ac:dyDescent="0.2">
      <c r="A3131" s="462"/>
      <c r="B3131" s="462"/>
      <c r="C3131" s="21"/>
      <c r="D3131" s="462"/>
    </row>
    <row r="3132" spans="1:4" x14ac:dyDescent="0.2">
      <c r="A3132" s="462"/>
      <c r="B3132" s="462"/>
      <c r="C3132" s="21"/>
      <c r="D3132" s="462"/>
    </row>
    <row r="3133" spans="1:4" x14ac:dyDescent="0.2">
      <c r="A3133" s="462"/>
      <c r="B3133" s="462"/>
      <c r="C3133" s="21"/>
      <c r="D3133" s="462"/>
    </row>
    <row r="3134" spans="1:4" x14ac:dyDescent="0.2">
      <c r="A3134" s="462"/>
      <c r="B3134" s="462"/>
      <c r="C3134" s="21"/>
      <c r="D3134" s="462"/>
    </row>
    <row r="3135" spans="1:4" x14ac:dyDescent="0.2">
      <c r="A3135" s="462"/>
      <c r="B3135" s="462"/>
      <c r="C3135" s="21"/>
      <c r="D3135" s="462"/>
    </row>
    <row r="3136" spans="1:4" x14ac:dyDescent="0.2">
      <c r="A3136" s="462"/>
      <c r="B3136" s="462"/>
      <c r="C3136" s="21"/>
      <c r="D3136" s="462"/>
    </row>
    <row r="3137" spans="1:4" x14ac:dyDescent="0.2">
      <c r="A3137" s="462"/>
      <c r="B3137" s="462"/>
      <c r="C3137" s="21"/>
      <c r="D3137" s="462"/>
    </row>
    <row r="3138" spans="1:4" x14ac:dyDescent="0.2">
      <c r="A3138" s="462"/>
      <c r="B3138" s="462"/>
      <c r="C3138" s="21"/>
      <c r="D3138" s="462"/>
    </row>
    <row r="3139" spans="1:4" x14ac:dyDescent="0.2">
      <c r="A3139" s="462"/>
      <c r="B3139" s="462"/>
      <c r="C3139" s="21"/>
      <c r="D3139" s="462"/>
    </row>
    <row r="3140" spans="1:4" x14ac:dyDescent="0.2">
      <c r="A3140" s="462"/>
      <c r="B3140" s="462"/>
      <c r="C3140" s="21"/>
      <c r="D3140" s="462"/>
    </row>
    <row r="3141" spans="1:4" x14ac:dyDescent="0.2">
      <c r="A3141" s="462"/>
      <c r="B3141" s="462"/>
      <c r="C3141" s="21"/>
      <c r="D3141" s="462"/>
    </row>
    <row r="3142" spans="1:4" x14ac:dyDescent="0.2">
      <c r="A3142" s="462"/>
      <c r="B3142" s="462"/>
      <c r="C3142" s="21"/>
      <c r="D3142" s="462"/>
    </row>
    <row r="3143" spans="1:4" x14ac:dyDescent="0.2">
      <c r="A3143" s="462"/>
      <c r="B3143" s="462"/>
      <c r="C3143" s="21"/>
      <c r="D3143" s="462"/>
    </row>
    <row r="3144" spans="1:4" x14ac:dyDescent="0.2">
      <c r="A3144" s="462"/>
      <c r="B3144" s="462"/>
      <c r="C3144" s="21"/>
      <c r="D3144" s="462"/>
    </row>
    <row r="3145" spans="1:4" x14ac:dyDescent="0.2">
      <c r="A3145" s="462"/>
      <c r="B3145" s="462"/>
      <c r="C3145" s="21"/>
      <c r="D3145" s="462"/>
    </row>
    <row r="3146" spans="1:4" x14ac:dyDescent="0.2">
      <c r="A3146" s="462"/>
      <c r="B3146" s="462"/>
      <c r="C3146" s="21"/>
      <c r="D3146" s="462"/>
    </row>
    <row r="3147" spans="1:4" x14ac:dyDescent="0.2">
      <c r="A3147" s="462"/>
      <c r="B3147" s="462"/>
      <c r="C3147" s="21"/>
      <c r="D3147" s="462"/>
    </row>
    <row r="3148" spans="1:4" x14ac:dyDescent="0.2">
      <c r="A3148" s="462"/>
      <c r="B3148" s="462"/>
      <c r="C3148" s="21"/>
      <c r="D3148" s="462"/>
    </row>
    <row r="3149" spans="1:4" x14ac:dyDescent="0.2">
      <c r="A3149" s="462"/>
      <c r="B3149" s="462"/>
      <c r="C3149" s="21"/>
      <c r="D3149" s="462"/>
    </row>
    <row r="3150" spans="1:4" x14ac:dyDescent="0.2">
      <c r="A3150" s="462"/>
      <c r="B3150" s="462"/>
      <c r="C3150" s="21"/>
      <c r="D3150" s="462"/>
    </row>
    <row r="3151" spans="1:4" x14ac:dyDescent="0.2">
      <c r="A3151" s="462"/>
      <c r="B3151" s="462"/>
      <c r="C3151" s="21"/>
      <c r="D3151" s="462"/>
    </row>
    <row r="3152" spans="1:4" x14ac:dyDescent="0.2">
      <c r="A3152" s="462"/>
      <c r="B3152" s="462"/>
      <c r="C3152" s="21"/>
      <c r="D3152" s="462"/>
    </row>
    <row r="3153" spans="1:4" x14ac:dyDescent="0.2">
      <c r="A3153" s="462"/>
      <c r="B3153" s="462"/>
      <c r="C3153" s="21"/>
      <c r="D3153" s="462"/>
    </row>
    <row r="3154" spans="1:4" x14ac:dyDescent="0.2">
      <c r="A3154" s="462"/>
      <c r="B3154" s="462"/>
      <c r="C3154" s="21"/>
      <c r="D3154" s="462"/>
    </row>
    <row r="3155" spans="1:4" x14ac:dyDescent="0.2">
      <c r="A3155" s="462"/>
      <c r="B3155" s="462"/>
      <c r="C3155" s="21"/>
      <c r="D3155" s="462"/>
    </row>
    <row r="3156" spans="1:4" x14ac:dyDescent="0.2">
      <c r="A3156" s="462"/>
      <c r="B3156" s="462"/>
      <c r="C3156" s="21"/>
      <c r="D3156" s="462"/>
    </row>
    <row r="3157" spans="1:4" x14ac:dyDescent="0.2">
      <c r="A3157" s="462"/>
      <c r="B3157" s="462"/>
      <c r="C3157" s="21"/>
      <c r="D3157" s="462"/>
    </row>
    <row r="3158" spans="1:4" x14ac:dyDescent="0.2">
      <c r="A3158" s="462"/>
      <c r="B3158" s="462"/>
      <c r="C3158" s="21"/>
      <c r="D3158" s="462"/>
    </row>
    <row r="3159" spans="1:4" x14ac:dyDescent="0.2">
      <c r="A3159" s="462"/>
      <c r="B3159" s="462"/>
      <c r="C3159" s="21"/>
      <c r="D3159" s="462"/>
    </row>
    <row r="3160" spans="1:4" x14ac:dyDescent="0.2">
      <c r="A3160" s="462"/>
      <c r="B3160" s="462"/>
      <c r="C3160" s="21"/>
      <c r="D3160" s="462"/>
    </row>
    <row r="3161" spans="1:4" x14ac:dyDescent="0.2">
      <c r="A3161" s="462"/>
      <c r="B3161" s="462"/>
      <c r="C3161" s="21"/>
      <c r="D3161" s="462"/>
    </row>
    <row r="3162" spans="1:4" x14ac:dyDescent="0.2">
      <c r="A3162" s="462"/>
      <c r="B3162" s="462"/>
      <c r="C3162" s="21"/>
      <c r="D3162" s="462"/>
    </row>
    <row r="3163" spans="1:4" x14ac:dyDescent="0.2">
      <c r="A3163" s="462"/>
      <c r="B3163" s="462"/>
      <c r="C3163" s="21"/>
      <c r="D3163" s="462"/>
    </row>
    <row r="3164" spans="1:4" x14ac:dyDescent="0.2">
      <c r="A3164" s="462"/>
      <c r="B3164" s="462"/>
      <c r="C3164" s="21"/>
      <c r="D3164" s="462"/>
    </row>
    <row r="3165" spans="1:4" x14ac:dyDescent="0.2">
      <c r="A3165" s="462"/>
      <c r="B3165" s="462"/>
      <c r="C3165" s="21"/>
      <c r="D3165" s="462"/>
    </row>
    <row r="3166" spans="1:4" x14ac:dyDescent="0.2">
      <c r="A3166" s="462"/>
      <c r="B3166" s="462"/>
      <c r="C3166" s="21"/>
      <c r="D3166" s="462"/>
    </row>
    <row r="3167" spans="1:4" x14ac:dyDescent="0.2">
      <c r="A3167" s="462"/>
      <c r="B3167" s="462"/>
      <c r="C3167" s="21"/>
      <c r="D3167" s="462"/>
    </row>
    <row r="3168" spans="1:4" x14ac:dyDescent="0.2">
      <c r="A3168" s="462"/>
      <c r="B3168" s="462"/>
      <c r="C3168" s="21"/>
      <c r="D3168" s="462"/>
    </row>
    <row r="3169" spans="1:4" x14ac:dyDescent="0.2">
      <c r="A3169" s="462"/>
      <c r="B3169" s="462"/>
      <c r="C3169" s="21"/>
      <c r="D3169" s="462"/>
    </row>
    <row r="3170" spans="1:4" x14ac:dyDescent="0.2">
      <c r="A3170" s="462"/>
      <c r="B3170" s="462"/>
      <c r="C3170" s="21"/>
      <c r="D3170" s="462"/>
    </row>
    <row r="3171" spans="1:4" x14ac:dyDescent="0.2">
      <c r="A3171" s="462"/>
      <c r="B3171" s="462"/>
      <c r="C3171" s="21"/>
      <c r="D3171" s="462"/>
    </row>
    <row r="3172" spans="1:4" x14ac:dyDescent="0.2">
      <c r="A3172" s="462"/>
      <c r="B3172" s="462"/>
      <c r="C3172" s="21"/>
      <c r="D3172" s="462"/>
    </row>
    <row r="3173" spans="1:4" x14ac:dyDescent="0.2">
      <c r="A3173" s="462"/>
      <c r="B3173" s="462"/>
      <c r="C3173" s="21"/>
      <c r="D3173" s="462"/>
    </row>
    <row r="3174" spans="1:4" x14ac:dyDescent="0.2">
      <c r="A3174" s="462"/>
      <c r="B3174" s="462"/>
      <c r="C3174" s="21"/>
      <c r="D3174" s="462"/>
    </row>
    <row r="3175" spans="1:4" x14ac:dyDescent="0.2">
      <c r="A3175" s="462"/>
      <c r="B3175" s="462"/>
      <c r="C3175" s="21"/>
      <c r="D3175" s="462"/>
    </row>
    <row r="3176" spans="1:4" x14ac:dyDescent="0.2">
      <c r="A3176" s="462"/>
      <c r="B3176" s="462"/>
      <c r="C3176" s="21"/>
      <c r="D3176" s="462"/>
    </row>
    <row r="3177" spans="1:4" x14ac:dyDescent="0.2">
      <c r="A3177" s="462"/>
      <c r="B3177" s="462"/>
      <c r="C3177" s="21"/>
      <c r="D3177" s="462"/>
    </row>
    <row r="3178" spans="1:4" x14ac:dyDescent="0.2">
      <c r="A3178" s="462"/>
      <c r="B3178" s="462"/>
      <c r="C3178" s="21"/>
      <c r="D3178" s="462"/>
    </row>
    <row r="3179" spans="1:4" x14ac:dyDescent="0.2">
      <c r="A3179" s="462"/>
      <c r="B3179" s="462"/>
      <c r="C3179" s="21"/>
      <c r="D3179" s="462"/>
    </row>
    <row r="3180" spans="1:4" x14ac:dyDescent="0.2">
      <c r="A3180" s="462"/>
      <c r="B3180" s="462"/>
      <c r="C3180" s="21"/>
      <c r="D3180" s="462"/>
    </row>
    <row r="3181" spans="1:4" x14ac:dyDescent="0.2">
      <c r="A3181" s="462"/>
      <c r="B3181" s="462"/>
      <c r="C3181" s="21"/>
      <c r="D3181" s="462"/>
    </row>
    <row r="3182" spans="1:4" x14ac:dyDescent="0.2">
      <c r="A3182" s="462"/>
      <c r="B3182" s="462"/>
      <c r="C3182" s="21"/>
      <c r="D3182" s="462"/>
    </row>
    <row r="3183" spans="1:4" x14ac:dyDescent="0.2">
      <c r="A3183" s="462"/>
      <c r="B3183" s="462"/>
      <c r="C3183" s="21"/>
      <c r="D3183" s="462"/>
    </row>
    <row r="3184" spans="1:4" x14ac:dyDescent="0.2">
      <c r="A3184" s="462"/>
      <c r="B3184" s="462"/>
      <c r="C3184" s="21"/>
      <c r="D3184" s="462"/>
    </row>
    <row r="3185" spans="1:4" x14ac:dyDescent="0.2">
      <c r="A3185" s="462"/>
      <c r="B3185" s="462"/>
      <c r="C3185" s="21"/>
      <c r="D3185" s="462"/>
    </row>
    <row r="3186" spans="1:4" x14ac:dyDescent="0.2">
      <c r="A3186" s="462"/>
      <c r="B3186" s="462"/>
      <c r="C3186" s="21"/>
      <c r="D3186" s="462"/>
    </row>
    <row r="3187" spans="1:4" x14ac:dyDescent="0.2">
      <c r="A3187" s="462"/>
      <c r="B3187" s="462"/>
      <c r="C3187" s="21"/>
      <c r="D3187" s="462"/>
    </row>
    <row r="3188" spans="1:4" x14ac:dyDescent="0.2">
      <c r="A3188" s="462"/>
      <c r="B3188" s="462"/>
      <c r="C3188" s="21"/>
      <c r="D3188" s="462"/>
    </row>
    <row r="3189" spans="1:4" x14ac:dyDescent="0.2">
      <c r="A3189" s="462"/>
      <c r="B3189" s="462"/>
      <c r="C3189" s="21"/>
      <c r="D3189" s="462"/>
    </row>
    <row r="3190" spans="1:4" x14ac:dyDescent="0.2">
      <c r="A3190" s="462"/>
      <c r="B3190" s="462"/>
      <c r="C3190" s="21"/>
      <c r="D3190" s="462"/>
    </row>
    <row r="3191" spans="1:4" x14ac:dyDescent="0.2">
      <c r="A3191" s="462"/>
      <c r="B3191" s="462"/>
      <c r="C3191" s="21"/>
      <c r="D3191" s="462"/>
    </row>
    <row r="3192" spans="1:4" x14ac:dyDescent="0.2">
      <c r="A3192" s="462"/>
      <c r="B3192" s="462"/>
      <c r="C3192" s="21"/>
      <c r="D3192" s="462"/>
    </row>
    <row r="3193" spans="1:4" x14ac:dyDescent="0.2">
      <c r="A3193" s="462"/>
      <c r="B3193" s="462"/>
      <c r="C3193" s="21"/>
      <c r="D3193" s="462"/>
    </row>
    <row r="3194" spans="1:4" x14ac:dyDescent="0.2">
      <c r="A3194" s="462"/>
      <c r="B3194" s="462"/>
      <c r="C3194" s="21"/>
      <c r="D3194" s="462"/>
    </row>
    <row r="3195" spans="1:4" x14ac:dyDescent="0.2">
      <c r="A3195" s="462"/>
      <c r="B3195" s="462"/>
      <c r="C3195" s="21"/>
      <c r="D3195" s="462"/>
    </row>
    <row r="3196" spans="1:4" x14ac:dyDescent="0.2">
      <c r="A3196" s="462"/>
      <c r="B3196" s="462"/>
      <c r="C3196" s="21"/>
      <c r="D3196" s="462"/>
    </row>
    <row r="3197" spans="1:4" x14ac:dyDescent="0.2">
      <c r="A3197" s="462"/>
      <c r="B3197" s="462"/>
      <c r="C3197" s="21"/>
      <c r="D3197" s="462"/>
    </row>
    <row r="3198" spans="1:4" x14ac:dyDescent="0.2">
      <c r="A3198" s="462"/>
      <c r="B3198" s="462"/>
      <c r="C3198" s="21"/>
      <c r="D3198" s="462"/>
    </row>
    <row r="3199" spans="1:4" x14ac:dyDescent="0.2">
      <c r="A3199" s="462"/>
      <c r="B3199" s="462"/>
      <c r="C3199" s="21"/>
      <c r="D3199" s="462"/>
    </row>
    <row r="3200" spans="1:4" x14ac:dyDescent="0.2">
      <c r="A3200" s="462"/>
      <c r="B3200" s="462"/>
      <c r="C3200" s="21"/>
      <c r="D3200" s="462"/>
    </row>
    <row r="3201" spans="1:4" x14ac:dyDescent="0.2">
      <c r="A3201" s="462"/>
      <c r="B3201" s="462"/>
      <c r="C3201" s="21"/>
      <c r="D3201" s="462"/>
    </row>
    <row r="3202" spans="1:4" x14ac:dyDescent="0.2">
      <c r="A3202" s="462"/>
      <c r="B3202" s="462"/>
      <c r="C3202" s="21"/>
      <c r="D3202" s="462"/>
    </row>
    <row r="3203" spans="1:4" x14ac:dyDescent="0.2">
      <c r="A3203" s="462"/>
      <c r="B3203" s="462"/>
      <c r="C3203" s="21"/>
      <c r="D3203" s="462"/>
    </row>
    <row r="3204" spans="1:4" x14ac:dyDescent="0.2">
      <c r="A3204" s="462"/>
      <c r="B3204" s="462"/>
      <c r="C3204" s="21"/>
      <c r="D3204" s="462"/>
    </row>
    <row r="3205" spans="1:4" x14ac:dyDescent="0.2">
      <c r="A3205" s="462"/>
      <c r="B3205" s="462"/>
      <c r="C3205" s="21"/>
      <c r="D3205" s="462"/>
    </row>
    <row r="3206" spans="1:4" x14ac:dyDescent="0.2">
      <c r="A3206" s="462"/>
      <c r="B3206" s="462"/>
      <c r="C3206" s="21"/>
      <c r="D3206" s="462"/>
    </row>
    <row r="3207" spans="1:4" x14ac:dyDescent="0.2">
      <c r="A3207" s="462"/>
      <c r="B3207" s="462"/>
      <c r="C3207" s="21"/>
      <c r="D3207" s="462"/>
    </row>
    <row r="3208" spans="1:4" x14ac:dyDescent="0.2">
      <c r="A3208" s="462"/>
      <c r="B3208" s="462"/>
      <c r="C3208" s="21"/>
      <c r="D3208" s="462"/>
    </row>
    <row r="3209" spans="1:4" x14ac:dyDescent="0.2">
      <c r="A3209" s="462"/>
      <c r="B3209" s="462"/>
      <c r="C3209" s="21"/>
      <c r="D3209" s="462"/>
    </row>
    <row r="3210" spans="1:4" x14ac:dyDescent="0.2">
      <c r="A3210" s="462"/>
      <c r="B3210" s="462"/>
      <c r="C3210" s="21"/>
      <c r="D3210" s="462"/>
    </row>
    <row r="3211" spans="1:4" x14ac:dyDescent="0.2">
      <c r="A3211" s="462"/>
      <c r="B3211" s="462"/>
      <c r="C3211" s="21"/>
      <c r="D3211" s="462"/>
    </row>
    <row r="3212" spans="1:4" x14ac:dyDescent="0.2">
      <c r="A3212" s="462"/>
      <c r="B3212" s="462"/>
      <c r="C3212" s="21"/>
      <c r="D3212" s="462"/>
    </row>
    <row r="3213" spans="1:4" x14ac:dyDescent="0.2">
      <c r="A3213" s="462"/>
      <c r="B3213" s="462"/>
      <c r="C3213" s="21"/>
      <c r="D3213" s="462"/>
    </row>
    <row r="3214" spans="1:4" x14ac:dyDescent="0.2">
      <c r="A3214" s="462"/>
      <c r="B3214" s="462"/>
      <c r="C3214" s="21"/>
      <c r="D3214" s="462"/>
    </row>
    <row r="3215" spans="1:4" x14ac:dyDescent="0.2">
      <c r="A3215" s="462"/>
      <c r="B3215" s="462"/>
      <c r="C3215" s="21"/>
      <c r="D3215" s="462"/>
    </row>
    <row r="3216" spans="1:4" x14ac:dyDescent="0.2">
      <c r="A3216" s="462"/>
      <c r="B3216" s="462"/>
      <c r="C3216" s="21"/>
      <c r="D3216" s="462"/>
    </row>
    <row r="3217" spans="1:4" x14ac:dyDescent="0.2">
      <c r="A3217" s="462"/>
      <c r="B3217" s="462"/>
      <c r="C3217" s="21"/>
      <c r="D3217" s="462"/>
    </row>
    <row r="3218" spans="1:4" x14ac:dyDescent="0.2">
      <c r="A3218" s="462"/>
      <c r="B3218" s="462"/>
      <c r="C3218" s="21"/>
      <c r="D3218" s="462"/>
    </row>
    <row r="3219" spans="1:4" x14ac:dyDescent="0.2">
      <c r="A3219" s="462"/>
      <c r="B3219" s="462"/>
      <c r="C3219" s="21"/>
      <c r="D3219" s="462"/>
    </row>
    <row r="3220" spans="1:4" x14ac:dyDescent="0.2">
      <c r="A3220" s="462"/>
      <c r="B3220" s="462"/>
      <c r="C3220" s="21"/>
      <c r="D3220" s="462"/>
    </row>
    <row r="3221" spans="1:4" x14ac:dyDescent="0.2">
      <c r="A3221" s="462"/>
      <c r="B3221" s="462"/>
      <c r="C3221" s="21"/>
      <c r="D3221" s="462"/>
    </row>
    <row r="3222" spans="1:4" x14ac:dyDescent="0.2">
      <c r="A3222" s="462"/>
      <c r="B3222" s="462"/>
      <c r="C3222" s="21"/>
      <c r="D3222" s="462"/>
    </row>
    <row r="3223" spans="1:4" x14ac:dyDescent="0.2">
      <c r="A3223" s="462"/>
      <c r="B3223" s="462"/>
      <c r="C3223" s="21"/>
      <c r="D3223" s="462"/>
    </row>
    <row r="3224" spans="1:4" x14ac:dyDescent="0.2">
      <c r="A3224" s="462"/>
      <c r="B3224" s="462"/>
      <c r="C3224" s="21"/>
      <c r="D3224" s="462"/>
    </row>
    <row r="3225" spans="1:4" x14ac:dyDescent="0.2">
      <c r="A3225" s="462"/>
      <c r="B3225" s="462"/>
      <c r="C3225" s="21"/>
      <c r="D3225" s="462"/>
    </row>
    <row r="3226" spans="1:4" x14ac:dyDescent="0.2">
      <c r="A3226" s="462"/>
      <c r="B3226" s="462"/>
      <c r="C3226" s="21"/>
      <c r="D3226" s="462"/>
    </row>
    <row r="3227" spans="1:4" x14ac:dyDescent="0.2">
      <c r="A3227" s="462"/>
      <c r="B3227" s="462"/>
      <c r="C3227" s="21"/>
      <c r="D3227" s="462"/>
    </row>
    <row r="3228" spans="1:4" x14ac:dyDescent="0.2">
      <c r="A3228" s="462"/>
      <c r="B3228" s="462"/>
      <c r="C3228" s="21"/>
      <c r="D3228" s="462"/>
    </row>
    <row r="3229" spans="1:4" x14ac:dyDescent="0.2">
      <c r="A3229" s="462"/>
      <c r="B3229" s="462"/>
      <c r="C3229" s="21"/>
      <c r="D3229" s="462"/>
    </row>
    <row r="3230" spans="1:4" x14ac:dyDescent="0.2">
      <c r="A3230" s="462"/>
      <c r="B3230" s="462"/>
      <c r="C3230" s="21"/>
      <c r="D3230" s="462"/>
    </row>
    <row r="3231" spans="1:4" x14ac:dyDescent="0.2">
      <c r="A3231" s="462"/>
      <c r="B3231" s="462"/>
      <c r="C3231" s="21"/>
      <c r="D3231" s="462"/>
    </row>
    <row r="3232" spans="1:4" x14ac:dyDescent="0.2">
      <c r="A3232" s="462"/>
      <c r="B3232" s="462"/>
      <c r="C3232" s="21"/>
      <c r="D3232" s="462"/>
    </row>
    <row r="3233" spans="1:4" x14ac:dyDescent="0.2">
      <c r="A3233" s="462"/>
      <c r="B3233" s="462"/>
      <c r="C3233" s="21"/>
      <c r="D3233" s="462"/>
    </row>
    <row r="3234" spans="1:4" x14ac:dyDescent="0.2">
      <c r="A3234" s="462"/>
      <c r="B3234" s="462"/>
      <c r="C3234" s="21"/>
      <c r="D3234" s="462"/>
    </row>
    <row r="3235" spans="1:4" x14ac:dyDescent="0.2">
      <c r="A3235" s="462"/>
      <c r="B3235" s="462"/>
      <c r="C3235" s="21"/>
      <c r="D3235" s="462"/>
    </row>
    <row r="3236" spans="1:4" x14ac:dyDescent="0.2">
      <c r="A3236" s="462"/>
      <c r="B3236" s="462"/>
      <c r="C3236" s="21"/>
      <c r="D3236" s="462"/>
    </row>
    <row r="3237" spans="1:4" x14ac:dyDescent="0.2">
      <c r="A3237" s="462"/>
      <c r="B3237" s="462"/>
      <c r="C3237" s="21"/>
      <c r="D3237" s="462"/>
    </row>
    <row r="3238" spans="1:4" x14ac:dyDescent="0.2">
      <c r="A3238" s="462"/>
      <c r="B3238" s="462"/>
      <c r="C3238" s="21"/>
      <c r="D3238" s="462"/>
    </row>
    <row r="3239" spans="1:4" x14ac:dyDescent="0.2">
      <c r="A3239" s="462"/>
      <c r="B3239" s="462"/>
      <c r="C3239" s="21"/>
      <c r="D3239" s="462"/>
    </row>
    <row r="3240" spans="1:4" x14ac:dyDescent="0.2">
      <c r="A3240" s="462"/>
      <c r="B3240" s="462"/>
      <c r="C3240" s="21"/>
      <c r="D3240" s="462"/>
    </row>
    <row r="3241" spans="1:4" x14ac:dyDescent="0.2">
      <c r="A3241" s="462"/>
      <c r="B3241" s="462"/>
      <c r="C3241" s="21"/>
      <c r="D3241" s="462"/>
    </row>
    <row r="3242" spans="1:4" x14ac:dyDescent="0.2">
      <c r="A3242" s="462"/>
      <c r="B3242" s="462"/>
      <c r="C3242" s="21"/>
      <c r="D3242" s="462"/>
    </row>
    <row r="3243" spans="1:4" x14ac:dyDescent="0.2">
      <c r="A3243" s="462"/>
      <c r="B3243" s="462"/>
      <c r="C3243" s="21"/>
      <c r="D3243" s="462"/>
    </row>
    <row r="3244" spans="1:4" x14ac:dyDescent="0.2">
      <c r="A3244" s="462"/>
      <c r="B3244" s="462"/>
      <c r="C3244" s="21"/>
      <c r="D3244" s="462"/>
    </row>
    <row r="3245" spans="1:4" x14ac:dyDescent="0.2">
      <c r="A3245" s="462"/>
      <c r="B3245" s="462"/>
      <c r="C3245" s="21"/>
      <c r="D3245" s="462"/>
    </row>
    <row r="3246" spans="1:4" x14ac:dyDescent="0.2">
      <c r="A3246" s="462"/>
      <c r="B3246" s="462"/>
      <c r="C3246" s="21"/>
      <c r="D3246" s="462"/>
    </row>
    <row r="3247" spans="1:4" x14ac:dyDescent="0.2">
      <c r="A3247" s="462"/>
      <c r="B3247" s="462"/>
      <c r="C3247" s="21"/>
      <c r="D3247" s="462"/>
    </row>
    <row r="3248" spans="1:4" x14ac:dyDescent="0.2">
      <c r="A3248" s="462"/>
      <c r="B3248" s="462"/>
      <c r="C3248" s="21"/>
      <c r="D3248" s="462"/>
    </row>
    <row r="3249" spans="1:4" x14ac:dyDescent="0.2">
      <c r="A3249" s="462"/>
      <c r="B3249" s="462"/>
      <c r="C3249" s="21"/>
      <c r="D3249" s="462"/>
    </row>
    <row r="3250" spans="1:4" x14ac:dyDescent="0.2">
      <c r="A3250" s="462"/>
      <c r="B3250" s="462"/>
      <c r="C3250" s="21"/>
      <c r="D3250" s="462"/>
    </row>
    <row r="3251" spans="1:4" x14ac:dyDescent="0.2">
      <c r="A3251" s="462"/>
      <c r="B3251" s="462"/>
      <c r="C3251" s="21"/>
      <c r="D3251" s="462"/>
    </row>
    <row r="3252" spans="1:4" x14ac:dyDescent="0.2">
      <c r="A3252" s="462"/>
      <c r="B3252" s="462"/>
      <c r="C3252" s="21"/>
      <c r="D3252" s="462"/>
    </row>
    <row r="3253" spans="1:4" x14ac:dyDescent="0.2">
      <c r="A3253" s="462"/>
      <c r="B3253" s="462"/>
      <c r="C3253" s="21"/>
      <c r="D3253" s="462"/>
    </row>
    <row r="3254" spans="1:4" x14ac:dyDescent="0.2">
      <c r="A3254" s="462"/>
      <c r="B3254" s="462"/>
      <c r="C3254" s="21"/>
      <c r="D3254" s="462"/>
    </row>
    <row r="3255" spans="1:4" x14ac:dyDescent="0.2">
      <c r="A3255" s="462"/>
      <c r="B3255" s="462"/>
      <c r="C3255" s="21"/>
      <c r="D3255" s="462"/>
    </row>
    <row r="3256" spans="1:4" x14ac:dyDescent="0.2">
      <c r="A3256" s="462"/>
      <c r="B3256" s="462"/>
      <c r="C3256" s="21"/>
      <c r="D3256" s="462"/>
    </row>
    <row r="3257" spans="1:4" x14ac:dyDescent="0.2">
      <c r="A3257" s="462"/>
      <c r="B3257" s="462"/>
      <c r="C3257" s="21"/>
      <c r="D3257" s="462"/>
    </row>
    <row r="3258" spans="1:4" x14ac:dyDescent="0.2">
      <c r="A3258" s="462"/>
      <c r="B3258" s="462"/>
      <c r="C3258" s="21"/>
      <c r="D3258" s="462"/>
    </row>
    <row r="3259" spans="1:4" x14ac:dyDescent="0.2">
      <c r="A3259" s="462"/>
      <c r="B3259" s="462"/>
      <c r="C3259" s="21"/>
      <c r="D3259" s="462"/>
    </row>
    <row r="3260" spans="1:4" x14ac:dyDescent="0.2">
      <c r="A3260" s="462"/>
      <c r="B3260" s="462"/>
      <c r="C3260" s="21"/>
      <c r="D3260" s="462"/>
    </row>
    <row r="3261" spans="1:4" x14ac:dyDescent="0.2">
      <c r="A3261" s="462"/>
      <c r="B3261" s="462"/>
      <c r="C3261" s="21"/>
      <c r="D3261" s="462"/>
    </row>
    <row r="3262" spans="1:4" x14ac:dyDescent="0.2">
      <c r="A3262" s="462"/>
      <c r="B3262" s="462"/>
      <c r="C3262" s="21"/>
      <c r="D3262" s="462"/>
    </row>
    <row r="3263" spans="1:4" x14ac:dyDescent="0.2">
      <c r="A3263" s="462"/>
      <c r="B3263" s="462"/>
      <c r="C3263" s="21"/>
      <c r="D3263" s="462"/>
    </row>
    <row r="3264" spans="1:4" x14ac:dyDescent="0.2">
      <c r="A3264" s="462"/>
      <c r="B3264" s="462"/>
      <c r="C3264" s="21"/>
      <c r="D3264" s="462"/>
    </row>
    <row r="3265" spans="1:4" x14ac:dyDescent="0.2">
      <c r="A3265" s="462"/>
      <c r="B3265" s="462"/>
      <c r="C3265" s="21"/>
      <c r="D3265" s="462"/>
    </row>
    <row r="3266" spans="1:4" x14ac:dyDescent="0.2">
      <c r="A3266" s="462"/>
      <c r="B3266" s="462"/>
      <c r="C3266" s="21"/>
      <c r="D3266" s="462"/>
    </row>
    <row r="3267" spans="1:4" x14ac:dyDescent="0.2">
      <c r="A3267" s="462"/>
      <c r="B3267" s="462"/>
      <c r="C3267" s="21"/>
      <c r="D3267" s="462"/>
    </row>
    <row r="3268" spans="1:4" x14ac:dyDescent="0.2">
      <c r="A3268" s="462"/>
      <c r="B3268" s="462"/>
      <c r="C3268" s="21"/>
      <c r="D3268" s="462"/>
    </row>
    <row r="3269" spans="1:4" x14ac:dyDescent="0.2">
      <c r="A3269" s="462"/>
      <c r="B3269" s="462"/>
      <c r="C3269" s="21"/>
      <c r="D3269" s="462"/>
    </row>
    <row r="3270" spans="1:4" x14ac:dyDescent="0.2">
      <c r="A3270" s="462"/>
      <c r="B3270" s="462"/>
      <c r="C3270" s="21"/>
      <c r="D3270" s="462"/>
    </row>
    <row r="3271" spans="1:4" x14ac:dyDescent="0.2">
      <c r="A3271" s="462"/>
      <c r="B3271" s="462"/>
      <c r="C3271" s="21"/>
      <c r="D3271" s="462"/>
    </row>
    <row r="3272" spans="1:4" x14ac:dyDescent="0.2">
      <c r="A3272" s="462"/>
      <c r="B3272" s="462"/>
      <c r="C3272" s="21"/>
      <c r="D3272" s="462"/>
    </row>
    <row r="3273" spans="1:4" x14ac:dyDescent="0.2">
      <c r="A3273" s="462"/>
      <c r="B3273" s="462"/>
      <c r="C3273" s="21"/>
      <c r="D3273" s="462"/>
    </row>
    <row r="3274" spans="1:4" x14ac:dyDescent="0.2">
      <c r="A3274" s="462"/>
      <c r="B3274" s="462"/>
      <c r="C3274" s="21"/>
      <c r="D3274" s="462"/>
    </row>
    <row r="3275" spans="1:4" x14ac:dyDescent="0.2">
      <c r="A3275" s="462"/>
      <c r="B3275" s="462"/>
      <c r="C3275" s="21"/>
      <c r="D3275" s="462"/>
    </row>
    <row r="3276" spans="1:4" x14ac:dyDescent="0.2">
      <c r="A3276" s="462"/>
      <c r="B3276" s="462"/>
      <c r="C3276" s="21"/>
      <c r="D3276" s="462"/>
    </row>
    <row r="3277" spans="1:4" x14ac:dyDescent="0.2">
      <c r="A3277" s="462"/>
      <c r="B3277" s="462"/>
      <c r="C3277" s="21"/>
      <c r="D3277" s="462"/>
    </row>
    <row r="3278" spans="1:4" x14ac:dyDescent="0.2">
      <c r="A3278" s="462"/>
      <c r="B3278" s="462"/>
      <c r="C3278" s="21"/>
      <c r="D3278" s="462"/>
    </row>
    <row r="3279" spans="1:4" x14ac:dyDescent="0.2">
      <c r="A3279" s="462"/>
      <c r="B3279" s="462"/>
      <c r="C3279" s="21"/>
      <c r="D3279" s="462"/>
    </row>
    <row r="3280" spans="1:4" x14ac:dyDescent="0.2">
      <c r="A3280" s="462"/>
      <c r="B3280" s="462"/>
      <c r="C3280" s="21"/>
      <c r="D3280" s="462"/>
    </row>
    <row r="3281" spans="1:4" x14ac:dyDescent="0.2">
      <c r="A3281" s="462"/>
      <c r="B3281" s="462"/>
      <c r="C3281" s="21"/>
      <c r="D3281" s="462"/>
    </row>
    <row r="3282" spans="1:4" x14ac:dyDescent="0.2">
      <c r="A3282" s="462"/>
      <c r="B3282" s="462"/>
      <c r="C3282" s="21"/>
      <c r="D3282" s="462"/>
    </row>
    <row r="3283" spans="1:4" x14ac:dyDescent="0.2">
      <c r="A3283" s="462"/>
      <c r="B3283" s="462"/>
      <c r="C3283" s="21"/>
      <c r="D3283" s="462"/>
    </row>
    <row r="3284" spans="1:4" x14ac:dyDescent="0.2">
      <c r="A3284" s="462"/>
      <c r="B3284" s="462"/>
      <c r="C3284" s="21"/>
      <c r="D3284" s="462"/>
    </row>
    <row r="3285" spans="1:4" x14ac:dyDescent="0.2">
      <c r="A3285" s="462"/>
      <c r="B3285" s="462"/>
      <c r="C3285" s="21"/>
      <c r="D3285" s="462"/>
    </row>
    <row r="3286" spans="1:4" x14ac:dyDescent="0.2">
      <c r="A3286" s="462"/>
      <c r="B3286" s="462"/>
      <c r="C3286" s="21"/>
      <c r="D3286" s="462"/>
    </row>
    <row r="3287" spans="1:4" x14ac:dyDescent="0.2">
      <c r="A3287" s="462"/>
      <c r="B3287" s="462"/>
      <c r="C3287" s="21"/>
      <c r="D3287" s="462"/>
    </row>
    <row r="3288" spans="1:4" x14ac:dyDescent="0.2">
      <c r="A3288" s="462"/>
      <c r="B3288" s="462"/>
      <c r="C3288" s="21"/>
      <c r="D3288" s="462"/>
    </row>
    <row r="3289" spans="1:4" x14ac:dyDescent="0.2">
      <c r="A3289" s="462"/>
      <c r="B3289" s="462"/>
      <c r="C3289" s="21"/>
      <c r="D3289" s="462"/>
    </row>
    <row r="3290" spans="1:4" x14ac:dyDescent="0.2">
      <c r="A3290" s="462"/>
      <c r="B3290" s="462"/>
      <c r="C3290" s="21"/>
      <c r="D3290" s="462"/>
    </row>
    <row r="3291" spans="1:4" x14ac:dyDescent="0.2">
      <c r="A3291" s="462"/>
      <c r="B3291" s="462"/>
      <c r="C3291" s="21"/>
      <c r="D3291" s="462"/>
    </row>
    <row r="3292" spans="1:4" x14ac:dyDescent="0.2">
      <c r="A3292" s="462"/>
      <c r="B3292" s="462"/>
      <c r="C3292" s="21"/>
      <c r="D3292" s="462"/>
    </row>
    <row r="3293" spans="1:4" x14ac:dyDescent="0.2">
      <c r="A3293" s="462"/>
      <c r="B3293" s="462"/>
      <c r="C3293" s="21"/>
      <c r="D3293" s="462"/>
    </row>
    <row r="3294" spans="1:4" x14ac:dyDescent="0.2">
      <c r="A3294" s="462"/>
      <c r="B3294" s="462"/>
      <c r="C3294" s="21"/>
      <c r="D3294" s="462"/>
    </row>
    <row r="3295" spans="1:4" x14ac:dyDescent="0.2">
      <c r="A3295" s="462"/>
      <c r="B3295" s="462"/>
      <c r="C3295" s="21"/>
      <c r="D3295" s="462"/>
    </row>
    <row r="3296" spans="1:4" x14ac:dyDescent="0.2">
      <c r="A3296" s="462"/>
      <c r="B3296" s="462"/>
      <c r="C3296" s="21"/>
      <c r="D3296" s="462"/>
    </row>
    <row r="3297" spans="1:4" x14ac:dyDescent="0.2">
      <c r="A3297" s="462"/>
      <c r="B3297" s="462"/>
      <c r="C3297" s="21"/>
      <c r="D3297" s="462"/>
    </row>
    <row r="3298" spans="1:4" x14ac:dyDescent="0.2">
      <c r="A3298" s="462"/>
      <c r="B3298" s="462"/>
      <c r="C3298" s="21"/>
      <c r="D3298" s="462"/>
    </row>
    <row r="3299" spans="1:4" x14ac:dyDescent="0.2">
      <c r="A3299" s="462"/>
      <c r="B3299" s="462"/>
      <c r="C3299" s="21"/>
      <c r="D3299" s="462"/>
    </row>
    <row r="3300" spans="1:4" x14ac:dyDescent="0.2">
      <c r="A3300" s="462"/>
      <c r="B3300" s="462"/>
      <c r="C3300" s="21"/>
      <c r="D3300" s="462"/>
    </row>
    <row r="3301" spans="1:4" x14ac:dyDescent="0.2">
      <c r="A3301" s="462"/>
      <c r="B3301" s="462"/>
      <c r="C3301" s="21"/>
      <c r="D3301" s="462"/>
    </row>
    <row r="3302" spans="1:4" x14ac:dyDescent="0.2">
      <c r="A3302" s="462"/>
      <c r="B3302" s="462"/>
      <c r="C3302" s="21"/>
      <c r="D3302" s="462"/>
    </row>
    <row r="3303" spans="1:4" x14ac:dyDescent="0.2">
      <c r="A3303" s="462"/>
      <c r="B3303" s="462"/>
      <c r="C3303" s="21"/>
      <c r="D3303" s="462"/>
    </row>
    <row r="3304" spans="1:4" x14ac:dyDescent="0.2">
      <c r="A3304" s="462"/>
      <c r="B3304" s="462"/>
      <c r="C3304" s="21"/>
      <c r="D3304" s="462"/>
    </row>
    <row r="3305" spans="1:4" x14ac:dyDescent="0.2">
      <c r="A3305" s="462"/>
      <c r="B3305" s="462"/>
      <c r="C3305" s="21"/>
      <c r="D3305" s="462"/>
    </row>
    <row r="3306" spans="1:4" x14ac:dyDescent="0.2">
      <c r="A3306" s="462"/>
      <c r="B3306" s="462"/>
      <c r="C3306" s="21"/>
      <c r="D3306" s="462"/>
    </row>
    <row r="3307" spans="1:4" x14ac:dyDescent="0.2">
      <c r="A3307" s="462"/>
      <c r="B3307" s="462"/>
      <c r="C3307" s="21"/>
      <c r="D3307" s="462"/>
    </row>
    <row r="3308" spans="1:4" x14ac:dyDescent="0.2">
      <c r="A3308" s="462"/>
      <c r="B3308" s="462"/>
      <c r="C3308" s="21"/>
      <c r="D3308" s="462"/>
    </row>
    <row r="3309" spans="1:4" x14ac:dyDescent="0.2">
      <c r="A3309" s="462"/>
      <c r="B3309" s="462"/>
      <c r="C3309" s="21"/>
      <c r="D3309" s="462"/>
    </row>
    <row r="3310" spans="1:4" x14ac:dyDescent="0.2">
      <c r="A3310" s="462"/>
      <c r="B3310" s="462"/>
      <c r="C3310" s="21"/>
      <c r="D3310" s="462"/>
    </row>
    <row r="3311" spans="1:4" x14ac:dyDescent="0.2">
      <c r="A3311" s="462"/>
      <c r="B3311" s="462"/>
      <c r="C3311" s="21"/>
      <c r="D3311" s="462"/>
    </row>
    <row r="3312" spans="1:4" x14ac:dyDescent="0.2">
      <c r="A3312" s="462"/>
      <c r="B3312" s="462"/>
      <c r="C3312" s="21"/>
      <c r="D3312" s="462"/>
    </row>
    <row r="3313" spans="1:4" x14ac:dyDescent="0.2">
      <c r="A3313" s="462"/>
      <c r="B3313" s="462"/>
      <c r="C3313" s="21"/>
      <c r="D3313" s="462"/>
    </row>
    <row r="3314" spans="1:4" x14ac:dyDescent="0.2">
      <c r="A3314" s="462"/>
      <c r="B3314" s="462"/>
      <c r="C3314" s="21"/>
      <c r="D3314" s="462"/>
    </row>
    <row r="3315" spans="1:4" x14ac:dyDescent="0.2">
      <c r="A3315" s="462"/>
      <c r="B3315" s="462"/>
      <c r="C3315" s="21"/>
      <c r="D3315" s="462"/>
    </row>
    <row r="3316" spans="1:4" x14ac:dyDescent="0.2">
      <c r="A3316" s="462"/>
      <c r="B3316" s="462"/>
      <c r="C3316" s="21"/>
      <c r="D3316" s="462"/>
    </row>
    <row r="3317" spans="1:4" x14ac:dyDescent="0.2">
      <c r="A3317" s="462"/>
      <c r="B3317" s="462"/>
      <c r="C3317" s="21"/>
      <c r="D3317" s="462"/>
    </row>
    <row r="3318" spans="1:4" x14ac:dyDescent="0.2">
      <c r="A3318" s="462"/>
      <c r="B3318" s="462"/>
      <c r="C3318" s="21"/>
      <c r="D3318" s="462"/>
    </row>
    <row r="3319" spans="1:4" x14ac:dyDescent="0.2">
      <c r="A3319" s="462"/>
      <c r="B3319" s="462"/>
      <c r="C3319" s="21"/>
      <c r="D3319" s="462"/>
    </row>
    <row r="3320" spans="1:4" x14ac:dyDescent="0.2">
      <c r="A3320" s="462"/>
      <c r="B3320" s="462"/>
      <c r="C3320" s="21"/>
      <c r="D3320" s="462"/>
    </row>
    <row r="3321" spans="1:4" x14ac:dyDescent="0.2">
      <c r="A3321" s="462"/>
      <c r="B3321" s="462"/>
      <c r="C3321" s="21"/>
      <c r="D3321" s="462"/>
    </row>
    <row r="3322" spans="1:4" x14ac:dyDescent="0.2">
      <c r="A3322" s="462"/>
      <c r="B3322" s="462"/>
      <c r="C3322" s="21"/>
      <c r="D3322" s="462"/>
    </row>
    <row r="3323" spans="1:4" x14ac:dyDescent="0.2">
      <c r="A3323" s="462"/>
      <c r="B3323" s="462"/>
      <c r="C3323" s="21"/>
      <c r="D3323" s="462"/>
    </row>
    <row r="3324" spans="1:4" x14ac:dyDescent="0.2">
      <c r="A3324" s="462"/>
      <c r="B3324" s="462"/>
      <c r="C3324" s="21"/>
      <c r="D3324" s="462"/>
    </row>
    <row r="3325" spans="1:4" x14ac:dyDescent="0.2">
      <c r="A3325" s="462"/>
      <c r="B3325" s="462"/>
      <c r="C3325" s="21"/>
      <c r="D3325" s="462"/>
    </row>
    <row r="3326" spans="1:4" x14ac:dyDescent="0.2">
      <c r="A3326" s="462"/>
      <c r="B3326" s="462"/>
      <c r="C3326" s="21"/>
      <c r="D3326" s="462"/>
    </row>
    <row r="3327" spans="1:4" x14ac:dyDescent="0.2">
      <c r="A3327" s="462"/>
      <c r="B3327" s="462"/>
      <c r="C3327" s="21"/>
      <c r="D3327" s="462"/>
    </row>
    <row r="3328" spans="1:4" x14ac:dyDescent="0.2">
      <c r="A3328" s="462"/>
      <c r="B3328" s="462"/>
      <c r="C3328" s="21"/>
      <c r="D3328" s="462"/>
    </row>
    <row r="3329" spans="1:4" x14ac:dyDescent="0.2">
      <c r="A3329" s="462"/>
      <c r="B3329" s="462"/>
      <c r="C3329" s="21"/>
      <c r="D3329" s="462"/>
    </row>
    <row r="3330" spans="1:4" x14ac:dyDescent="0.2">
      <c r="A3330" s="462"/>
      <c r="B3330" s="462"/>
      <c r="C3330" s="21"/>
      <c r="D3330" s="462"/>
    </row>
    <row r="3331" spans="1:4" x14ac:dyDescent="0.2">
      <c r="A3331" s="462"/>
      <c r="B3331" s="462"/>
      <c r="C3331" s="21"/>
      <c r="D3331" s="462"/>
    </row>
    <row r="3332" spans="1:4" x14ac:dyDescent="0.2">
      <c r="A3332" s="462"/>
      <c r="B3332" s="462"/>
      <c r="C3332" s="21"/>
      <c r="D3332" s="462"/>
    </row>
    <row r="3333" spans="1:4" x14ac:dyDescent="0.2">
      <c r="A3333" s="462"/>
      <c r="B3333" s="462"/>
      <c r="C3333" s="21"/>
      <c r="D3333" s="462"/>
    </row>
    <row r="3334" spans="1:4" x14ac:dyDescent="0.2">
      <c r="A3334" s="462"/>
      <c r="B3334" s="462"/>
      <c r="C3334" s="21"/>
      <c r="D3334" s="462"/>
    </row>
    <row r="3335" spans="1:4" x14ac:dyDescent="0.2">
      <c r="A3335" s="462"/>
      <c r="B3335" s="462"/>
      <c r="C3335" s="21"/>
      <c r="D3335" s="462"/>
    </row>
    <row r="3336" spans="1:4" x14ac:dyDescent="0.2">
      <c r="A3336" s="462"/>
      <c r="B3336" s="462"/>
      <c r="C3336" s="21"/>
      <c r="D3336" s="462"/>
    </row>
    <row r="3337" spans="1:4" x14ac:dyDescent="0.2">
      <c r="A3337" s="462"/>
      <c r="B3337" s="462"/>
      <c r="C3337" s="21"/>
      <c r="D3337" s="462"/>
    </row>
    <row r="3338" spans="1:4" x14ac:dyDescent="0.2">
      <c r="A3338" s="462"/>
      <c r="B3338" s="462"/>
      <c r="C3338" s="21"/>
      <c r="D3338" s="462"/>
    </row>
    <row r="3339" spans="1:4" x14ac:dyDescent="0.2">
      <c r="A3339" s="462"/>
      <c r="B3339" s="462"/>
      <c r="C3339" s="21"/>
      <c r="D3339" s="462"/>
    </row>
    <row r="3340" spans="1:4" x14ac:dyDescent="0.2">
      <c r="A3340" s="462"/>
      <c r="B3340" s="462"/>
      <c r="C3340" s="21"/>
      <c r="D3340" s="462"/>
    </row>
    <row r="3341" spans="1:4" x14ac:dyDescent="0.2">
      <c r="A3341" s="462"/>
      <c r="B3341" s="462"/>
      <c r="C3341" s="21"/>
      <c r="D3341" s="462"/>
    </row>
    <row r="3342" spans="1:4" x14ac:dyDescent="0.2">
      <c r="A3342" s="462"/>
      <c r="B3342" s="462"/>
      <c r="C3342" s="21"/>
      <c r="D3342" s="462"/>
    </row>
    <row r="3343" spans="1:4" x14ac:dyDescent="0.2">
      <c r="A3343" s="462"/>
      <c r="B3343" s="462"/>
      <c r="C3343" s="21"/>
      <c r="D3343" s="462"/>
    </row>
    <row r="3344" spans="1:4" x14ac:dyDescent="0.2">
      <c r="A3344" s="462"/>
      <c r="B3344" s="462"/>
      <c r="C3344" s="21"/>
      <c r="D3344" s="462"/>
    </row>
    <row r="3345" spans="1:4" x14ac:dyDescent="0.2">
      <c r="A3345" s="462"/>
      <c r="B3345" s="462"/>
      <c r="C3345" s="21"/>
      <c r="D3345" s="462"/>
    </row>
    <row r="3346" spans="1:4" x14ac:dyDescent="0.2">
      <c r="A3346" s="462"/>
      <c r="B3346" s="462"/>
      <c r="C3346" s="21"/>
      <c r="D3346" s="462"/>
    </row>
    <row r="3347" spans="1:4" x14ac:dyDescent="0.2">
      <c r="A3347" s="462"/>
      <c r="B3347" s="462"/>
      <c r="C3347" s="21"/>
      <c r="D3347" s="462"/>
    </row>
    <row r="3348" spans="1:4" x14ac:dyDescent="0.2">
      <c r="A3348" s="462"/>
      <c r="B3348" s="462"/>
      <c r="C3348" s="21"/>
      <c r="D3348" s="462"/>
    </row>
    <row r="3349" spans="1:4" x14ac:dyDescent="0.2">
      <c r="A3349" s="462"/>
      <c r="B3349" s="462"/>
      <c r="C3349" s="21"/>
      <c r="D3349" s="462"/>
    </row>
    <row r="3350" spans="1:4" x14ac:dyDescent="0.2">
      <c r="A3350" s="462"/>
      <c r="B3350" s="462"/>
      <c r="C3350" s="21"/>
      <c r="D3350" s="462"/>
    </row>
    <row r="3351" spans="1:4" x14ac:dyDescent="0.2">
      <c r="A3351" s="462"/>
      <c r="B3351" s="462"/>
      <c r="C3351" s="21"/>
      <c r="D3351" s="462"/>
    </row>
    <row r="3352" spans="1:4" x14ac:dyDescent="0.2">
      <c r="A3352" s="462"/>
      <c r="B3352" s="462"/>
      <c r="C3352" s="21"/>
      <c r="D3352" s="462"/>
    </row>
    <row r="3353" spans="1:4" x14ac:dyDescent="0.2">
      <c r="A3353" s="462"/>
      <c r="B3353" s="462"/>
      <c r="C3353" s="21"/>
      <c r="D3353" s="462"/>
    </row>
    <row r="3354" spans="1:4" x14ac:dyDescent="0.2">
      <c r="A3354" s="462"/>
      <c r="B3354" s="462"/>
      <c r="C3354" s="21"/>
      <c r="D3354" s="462"/>
    </row>
    <row r="3355" spans="1:4" x14ac:dyDescent="0.2">
      <c r="A3355" s="462"/>
      <c r="B3355" s="462"/>
      <c r="C3355" s="21"/>
      <c r="D3355" s="462"/>
    </row>
    <row r="3356" spans="1:4" x14ac:dyDescent="0.2">
      <c r="A3356" s="462"/>
      <c r="B3356" s="462"/>
      <c r="C3356" s="21"/>
      <c r="D3356" s="462"/>
    </row>
    <row r="3357" spans="1:4" x14ac:dyDescent="0.2">
      <c r="A3357" s="462"/>
      <c r="B3357" s="462"/>
      <c r="C3357" s="21"/>
      <c r="D3357" s="462"/>
    </row>
    <row r="3358" spans="1:4" x14ac:dyDescent="0.2">
      <c r="A3358" s="462"/>
      <c r="B3358" s="462"/>
      <c r="C3358" s="21"/>
      <c r="D3358" s="462"/>
    </row>
    <row r="3359" spans="1:4" x14ac:dyDescent="0.2">
      <c r="A3359" s="462"/>
      <c r="B3359" s="462"/>
      <c r="C3359" s="21"/>
      <c r="D3359" s="462"/>
    </row>
    <row r="3360" spans="1:4" x14ac:dyDescent="0.2">
      <c r="A3360" s="462"/>
      <c r="B3360" s="462"/>
      <c r="C3360" s="21"/>
      <c r="D3360" s="462"/>
    </row>
    <row r="3361" spans="1:4" x14ac:dyDescent="0.2">
      <c r="A3361" s="462"/>
      <c r="B3361" s="462"/>
      <c r="C3361" s="21"/>
      <c r="D3361" s="462"/>
    </row>
    <row r="3362" spans="1:4" x14ac:dyDescent="0.2">
      <c r="A3362" s="462"/>
      <c r="B3362" s="462"/>
      <c r="C3362" s="21"/>
      <c r="D3362" s="462"/>
    </row>
    <row r="3363" spans="1:4" x14ac:dyDescent="0.2">
      <c r="A3363" s="462"/>
      <c r="B3363" s="462"/>
      <c r="C3363" s="21"/>
      <c r="D3363" s="462"/>
    </row>
    <row r="3364" spans="1:4" x14ac:dyDescent="0.2">
      <c r="A3364" s="462"/>
      <c r="B3364" s="462"/>
      <c r="C3364" s="21"/>
      <c r="D3364" s="462"/>
    </row>
    <row r="3365" spans="1:4" x14ac:dyDescent="0.2">
      <c r="A3365" s="462"/>
      <c r="B3365" s="462"/>
      <c r="C3365" s="21"/>
      <c r="D3365" s="462"/>
    </row>
    <row r="3366" spans="1:4" x14ac:dyDescent="0.2">
      <c r="A3366" s="462"/>
      <c r="B3366" s="462"/>
      <c r="C3366" s="21"/>
      <c r="D3366" s="462"/>
    </row>
    <row r="3367" spans="1:4" x14ac:dyDescent="0.2">
      <c r="A3367" s="462"/>
      <c r="B3367" s="462"/>
      <c r="C3367" s="21"/>
      <c r="D3367" s="462"/>
    </row>
    <row r="3368" spans="1:4" x14ac:dyDescent="0.2">
      <c r="A3368" s="462"/>
      <c r="B3368" s="462"/>
      <c r="C3368" s="21"/>
      <c r="D3368" s="462"/>
    </row>
    <row r="3369" spans="1:4" x14ac:dyDescent="0.2">
      <c r="A3369" s="462"/>
      <c r="B3369" s="462"/>
      <c r="C3369" s="21"/>
      <c r="D3369" s="462"/>
    </row>
    <row r="3370" spans="1:4" x14ac:dyDescent="0.2">
      <c r="A3370" s="462"/>
      <c r="B3370" s="462"/>
      <c r="C3370" s="21"/>
      <c r="D3370" s="462"/>
    </row>
    <row r="3371" spans="1:4" x14ac:dyDescent="0.2">
      <c r="A3371" s="462"/>
      <c r="B3371" s="462"/>
      <c r="C3371" s="21"/>
      <c r="D3371" s="462"/>
    </row>
    <row r="3372" spans="1:4" x14ac:dyDescent="0.2">
      <c r="A3372" s="462"/>
      <c r="B3372" s="462"/>
      <c r="C3372" s="21"/>
      <c r="D3372" s="462"/>
    </row>
    <row r="3373" spans="1:4" x14ac:dyDescent="0.2">
      <c r="A3373" s="462"/>
      <c r="B3373" s="462"/>
      <c r="C3373" s="21"/>
      <c r="D3373" s="462"/>
    </row>
    <row r="3374" spans="1:4" x14ac:dyDescent="0.2">
      <c r="A3374" s="462"/>
      <c r="B3374" s="462"/>
      <c r="C3374" s="21"/>
      <c r="D3374" s="462"/>
    </row>
    <row r="3375" spans="1:4" x14ac:dyDescent="0.2">
      <c r="A3375" s="462"/>
      <c r="B3375" s="462"/>
      <c r="C3375" s="21"/>
      <c r="D3375" s="462"/>
    </row>
    <row r="3376" spans="1:4" x14ac:dyDescent="0.2">
      <c r="A3376" s="462"/>
      <c r="B3376" s="462"/>
      <c r="C3376" s="21"/>
      <c r="D3376" s="462"/>
    </row>
    <row r="3377" spans="1:4" x14ac:dyDescent="0.2">
      <c r="A3377" s="462"/>
      <c r="B3377" s="462"/>
      <c r="C3377" s="21"/>
      <c r="D3377" s="462"/>
    </row>
    <row r="3378" spans="1:4" x14ac:dyDescent="0.2">
      <c r="A3378" s="462"/>
      <c r="B3378" s="462"/>
      <c r="C3378" s="21"/>
      <c r="D3378" s="462"/>
    </row>
    <row r="3379" spans="1:4" x14ac:dyDescent="0.2">
      <c r="A3379" s="462"/>
      <c r="B3379" s="462"/>
      <c r="C3379" s="21"/>
      <c r="D3379" s="462"/>
    </row>
    <row r="3380" spans="1:4" x14ac:dyDescent="0.2">
      <c r="A3380" s="462"/>
      <c r="B3380" s="462"/>
      <c r="C3380" s="21"/>
      <c r="D3380" s="462"/>
    </row>
    <row r="3381" spans="1:4" x14ac:dyDescent="0.2">
      <c r="A3381" s="462"/>
      <c r="B3381" s="462"/>
      <c r="C3381" s="21"/>
      <c r="D3381" s="462"/>
    </row>
    <row r="3382" spans="1:4" x14ac:dyDescent="0.2">
      <c r="A3382" s="462"/>
      <c r="B3382" s="462"/>
      <c r="C3382" s="21"/>
      <c r="D3382" s="462"/>
    </row>
    <row r="3383" spans="1:4" x14ac:dyDescent="0.2">
      <c r="A3383" s="462"/>
      <c r="B3383" s="462"/>
      <c r="C3383" s="21"/>
      <c r="D3383" s="462"/>
    </row>
    <row r="3384" spans="1:4" x14ac:dyDescent="0.2">
      <c r="A3384" s="462"/>
      <c r="B3384" s="462"/>
      <c r="C3384" s="21"/>
      <c r="D3384" s="462"/>
    </row>
    <row r="3385" spans="1:4" x14ac:dyDescent="0.2">
      <c r="A3385" s="462"/>
      <c r="B3385" s="462"/>
      <c r="C3385" s="21"/>
      <c r="D3385" s="462"/>
    </row>
    <row r="3386" spans="1:4" x14ac:dyDescent="0.2">
      <c r="A3386" s="462"/>
      <c r="B3386" s="462"/>
      <c r="C3386" s="21"/>
      <c r="D3386" s="462"/>
    </row>
    <row r="3387" spans="1:4" x14ac:dyDescent="0.2">
      <c r="A3387" s="462"/>
      <c r="B3387" s="462"/>
      <c r="C3387" s="21"/>
      <c r="D3387" s="462"/>
    </row>
    <row r="3388" spans="1:4" x14ac:dyDescent="0.2">
      <c r="A3388" s="462"/>
      <c r="B3388" s="462"/>
      <c r="C3388" s="21"/>
      <c r="D3388" s="462"/>
    </row>
    <row r="3389" spans="1:4" x14ac:dyDescent="0.2">
      <c r="A3389" s="462"/>
      <c r="B3389" s="462"/>
      <c r="C3389" s="21"/>
      <c r="D3389" s="462"/>
    </row>
    <row r="3390" spans="1:4" x14ac:dyDescent="0.2">
      <c r="A3390" s="462"/>
      <c r="B3390" s="462"/>
      <c r="C3390" s="21"/>
      <c r="D3390" s="462"/>
    </row>
    <row r="3391" spans="1:4" x14ac:dyDescent="0.2">
      <c r="A3391" s="462"/>
      <c r="B3391" s="462"/>
      <c r="C3391" s="21"/>
      <c r="D3391" s="462"/>
    </row>
    <row r="3392" spans="1:4" x14ac:dyDescent="0.2">
      <c r="A3392" s="462"/>
      <c r="B3392" s="462"/>
      <c r="C3392" s="21"/>
      <c r="D3392" s="462"/>
    </row>
    <row r="3393" spans="1:4" x14ac:dyDescent="0.2">
      <c r="A3393" s="462"/>
      <c r="B3393" s="462"/>
      <c r="C3393" s="21"/>
      <c r="D3393" s="462"/>
    </row>
    <row r="3394" spans="1:4" x14ac:dyDescent="0.2">
      <c r="A3394" s="462"/>
      <c r="B3394" s="462"/>
      <c r="C3394" s="21"/>
      <c r="D3394" s="462"/>
    </row>
    <row r="3395" spans="1:4" x14ac:dyDescent="0.2">
      <c r="A3395" s="462"/>
      <c r="B3395" s="462"/>
      <c r="C3395" s="21"/>
      <c r="D3395" s="462"/>
    </row>
    <row r="3396" spans="1:4" x14ac:dyDescent="0.2">
      <c r="A3396" s="462"/>
      <c r="B3396" s="462"/>
      <c r="C3396" s="21"/>
      <c r="D3396" s="462"/>
    </row>
    <row r="3397" spans="1:4" x14ac:dyDescent="0.2">
      <c r="A3397" s="462"/>
      <c r="B3397" s="462"/>
      <c r="C3397" s="21"/>
      <c r="D3397" s="462"/>
    </row>
    <row r="3398" spans="1:4" x14ac:dyDescent="0.2">
      <c r="A3398" s="462"/>
      <c r="B3398" s="462"/>
      <c r="C3398" s="21"/>
      <c r="D3398" s="462"/>
    </row>
    <row r="3399" spans="1:4" x14ac:dyDescent="0.2">
      <c r="A3399" s="462"/>
      <c r="B3399" s="462"/>
      <c r="C3399" s="21"/>
      <c r="D3399" s="462"/>
    </row>
    <row r="3400" spans="1:4" x14ac:dyDescent="0.2">
      <c r="A3400" s="462"/>
      <c r="B3400" s="462"/>
      <c r="C3400" s="21"/>
      <c r="D3400" s="462"/>
    </row>
    <row r="3401" spans="1:4" x14ac:dyDescent="0.2">
      <c r="A3401" s="462"/>
      <c r="B3401" s="462"/>
      <c r="C3401" s="21"/>
      <c r="D3401" s="462"/>
    </row>
    <row r="3402" spans="1:4" x14ac:dyDescent="0.2">
      <c r="A3402" s="462"/>
      <c r="B3402" s="462"/>
      <c r="C3402" s="21"/>
      <c r="D3402" s="462"/>
    </row>
    <row r="3403" spans="1:4" x14ac:dyDescent="0.2">
      <c r="A3403" s="462"/>
      <c r="B3403" s="462"/>
      <c r="C3403" s="21"/>
      <c r="D3403" s="462"/>
    </row>
    <row r="3404" spans="1:4" x14ac:dyDescent="0.2">
      <c r="A3404" s="462"/>
      <c r="B3404" s="462"/>
      <c r="C3404" s="21"/>
      <c r="D3404" s="462"/>
    </row>
    <row r="3405" spans="1:4" x14ac:dyDescent="0.2">
      <c r="A3405" s="462"/>
      <c r="B3405" s="462"/>
      <c r="C3405" s="21"/>
      <c r="D3405" s="462"/>
    </row>
    <row r="3406" spans="1:4" x14ac:dyDescent="0.2">
      <c r="A3406" s="462"/>
      <c r="B3406" s="462"/>
      <c r="C3406" s="21"/>
      <c r="D3406" s="462"/>
    </row>
    <row r="3407" spans="1:4" x14ac:dyDescent="0.2">
      <c r="A3407" s="462"/>
      <c r="B3407" s="462"/>
      <c r="C3407" s="21"/>
      <c r="D3407" s="462"/>
    </row>
    <row r="3408" spans="1:4" x14ac:dyDescent="0.2">
      <c r="A3408" s="462"/>
      <c r="B3408" s="462"/>
      <c r="C3408" s="21"/>
      <c r="D3408" s="462"/>
    </row>
    <row r="3409" spans="1:4" x14ac:dyDescent="0.2">
      <c r="A3409" s="462"/>
      <c r="B3409" s="462"/>
      <c r="C3409" s="21"/>
      <c r="D3409" s="462"/>
    </row>
    <row r="3410" spans="1:4" x14ac:dyDescent="0.2">
      <c r="A3410" s="462"/>
      <c r="B3410" s="462"/>
      <c r="C3410" s="21"/>
      <c r="D3410" s="462"/>
    </row>
    <row r="3411" spans="1:4" x14ac:dyDescent="0.2">
      <c r="A3411" s="462"/>
      <c r="B3411" s="462"/>
      <c r="C3411" s="21"/>
      <c r="D3411" s="462"/>
    </row>
    <row r="3412" spans="1:4" x14ac:dyDescent="0.2">
      <c r="A3412" s="462"/>
      <c r="B3412" s="462"/>
      <c r="C3412" s="21"/>
      <c r="D3412" s="462"/>
    </row>
    <row r="3413" spans="1:4" x14ac:dyDescent="0.2">
      <c r="A3413" s="462"/>
      <c r="B3413" s="462"/>
      <c r="C3413" s="21"/>
      <c r="D3413" s="462"/>
    </row>
    <row r="3414" spans="1:4" x14ac:dyDescent="0.2">
      <c r="A3414" s="462"/>
      <c r="B3414" s="462"/>
      <c r="C3414" s="21"/>
      <c r="D3414" s="462"/>
    </row>
    <row r="3415" spans="1:4" x14ac:dyDescent="0.2">
      <c r="A3415" s="462"/>
      <c r="B3415" s="462"/>
      <c r="C3415" s="21"/>
      <c r="D3415" s="462"/>
    </row>
    <row r="3416" spans="1:4" x14ac:dyDescent="0.2">
      <c r="A3416" s="462"/>
      <c r="B3416" s="462"/>
      <c r="C3416" s="21"/>
      <c r="D3416" s="462"/>
    </row>
    <row r="3417" spans="1:4" x14ac:dyDescent="0.2">
      <c r="A3417" s="462"/>
      <c r="B3417" s="462"/>
      <c r="C3417" s="21"/>
      <c r="D3417" s="462"/>
    </row>
    <row r="3418" spans="1:4" x14ac:dyDescent="0.2">
      <c r="A3418" s="462"/>
      <c r="B3418" s="462"/>
      <c r="C3418" s="21"/>
      <c r="D3418" s="462"/>
    </row>
    <row r="3419" spans="1:4" x14ac:dyDescent="0.2">
      <c r="A3419" s="462"/>
      <c r="B3419" s="462"/>
      <c r="C3419" s="21"/>
      <c r="D3419" s="462"/>
    </row>
    <row r="3420" spans="1:4" x14ac:dyDescent="0.2">
      <c r="A3420" s="462"/>
      <c r="B3420" s="462"/>
      <c r="C3420" s="21"/>
      <c r="D3420" s="462"/>
    </row>
    <row r="3421" spans="1:4" x14ac:dyDescent="0.2">
      <c r="A3421" s="462"/>
      <c r="B3421" s="462"/>
      <c r="C3421" s="21"/>
      <c r="D3421" s="462"/>
    </row>
    <row r="3422" spans="1:4" x14ac:dyDescent="0.2">
      <c r="A3422" s="462"/>
      <c r="B3422" s="462"/>
      <c r="C3422" s="21"/>
      <c r="D3422" s="462"/>
    </row>
    <row r="3423" spans="1:4" x14ac:dyDescent="0.2">
      <c r="A3423" s="462"/>
      <c r="B3423" s="462"/>
      <c r="C3423" s="21"/>
      <c r="D3423" s="462"/>
    </row>
    <row r="3424" spans="1:4" x14ac:dyDescent="0.2">
      <c r="A3424" s="462"/>
      <c r="B3424" s="462"/>
      <c r="C3424" s="21"/>
      <c r="D3424" s="462"/>
    </row>
    <row r="3425" spans="1:4" x14ac:dyDescent="0.2">
      <c r="A3425" s="462"/>
      <c r="B3425" s="462"/>
      <c r="C3425" s="21"/>
      <c r="D3425" s="462"/>
    </row>
    <row r="3426" spans="1:4" x14ac:dyDescent="0.2">
      <c r="A3426" s="462"/>
      <c r="B3426" s="462"/>
      <c r="C3426" s="21"/>
      <c r="D3426" s="462"/>
    </row>
    <row r="3427" spans="1:4" x14ac:dyDescent="0.2">
      <c r="A3427" s="462"/>
      <c r="B3427" s="462"/>
      <c r="C3427" s="21"/>
      <c r="D3427" s="462"/>
    </row>
    <row r="3428" spans="1:4" x14ac:dyDescent="0.2">
      <c r="A3428" s="462"/>
      <c r="B3428" s="462"/>
      <c r="C3428" s="21"/>
      <c r="D3428" s="462"/>
    </row>
    <row r="3429" spans="1:4" x14ac:dyDescent="0.2">
      <c r="A3429" s="462"/>
      <c r="B3429" s="462"/>
      <c r="C3429" s="21"/>
      <c r="D3429" s="462"/>
    </row>
    <row r="3430" spans="1:4" x14ac:dyDescent="0.2">
      <c r="A3430" s="462"/>
      <c r="B3430" s="462"/>
      <c r="C3430" s="21"/>
      <c r="D3430" s="462"/>
    </row>
    <row r="3431" spans="1:4" x14ac:dyDescent="0.2">
      <c r="A3431" s="462"/>
      <c r="B3431" s="462"/>
      <c r="C3431" s="21"/>
      <c r="D3431" s="462"/>
    </row>
    <row r="3432" spans="1:4" x14ac:dyDescent="0.2">
      <c r="A3432" s="462"/>
      <c r="B3432" s="462"/>
      <c r="C3432" s="21"/>
      <c r="D3432" s="462"/>
    </row>
    <row r="3433" spans="1:4" x14ac:dyDescent="0.2">
      <c r="A3433" s="462"/>
      <c r="B3433" s="462"/>
      <c r="C3433" s="21"/>
      <c r="D3433" s="462"/>
    </row>
    <row r="3434" spans="1:4" x14ac:dyDescent="0.2">
      <c r="A3434" s="462"/>
      <c r="B3434" s="462"/>
      <c r="C3434" s="21"/>
      <c r="D3434" s="462"/>
    </row>
    <row r="3435" spans="1:4" x14ac:dyDescent="0.2">
      <c r="A3435" s="462"/>
      <c r="B3435" s="462"/>
      <c r="C3435" s="21"/>
      <c r="D3435" s="462"/>
    </row>
    <row r="3436" spans="1:4" x14ac:dyDescent="0.2">
      <c r="A3436" s="462"/>
      <c r="B3436" s="462"/>
      <c r="C3436" s="21"/>
      <c r="D3436" s="462"/>
    </row>
    <row r="3437" spans="1:4" x14ac:dyDescent="0.2">
      <c r="A3437" s="462"/>
      <c r="B3437" s="462"/>
      <c r="C3437" s="21"/>
      <c r="D3437" s="462"/>
    </row>
    <row r="3438" spans="1:4" x14ac:dyDescent="0.2">
      <c r="A3438" s="462"/>
      <c r="B3438" s="462"/>
      <c r="C3438" s="21"/>
      <c r="D3438" s="462"/>
    </row>
    <row r="3439" spans="1:4" x14ac:dyDescent="0.2">
      <c r="A3439" s="462"/>
      <c r="B3439" s="462"/>
      <c r="C3439" s="21"/>
      <c r="D3439" s="462"/>
    </row>
    <row r="3440" spans="1:4" x14ac:dyDescent="0.2">
      <c r="A3440" s="462"/>
      <c r="B3440" s="462"/>
      <c r="C3440" s="21"/>
      <c r="D3440" s="462"/>
    </row>
    <row r="3441" spans="1:4" x14ac:dyDescent="0.2">
      <c r="A3441" s="462"/>
      <c r="B3441" s="462"/>
      <c r="C3441" s="21"/>
      <c r="D3441" s="462"/>
    </row>
    <row r="3442" spans="1:4" x14ac:dyDescent="0.2">
      <c r="A3442" s="462"/>
      <c r="B3442" s="462"/>
      <c r="C3442" s="21"/>
      <c r="D3442" s="462"/>
    </row>
    <row r="3443" spans="1:4" x14ac:dyDescent="0.2">
      <c r="A3443" s="462"/>
      <c r="B3443" s="462"/>
      <c r="C3443" s="21"/>
      <c r="D3443" s="462"/>
    </row>
    <row r="3444" spans="1:4" x14ac:dyDescent="0.2">
      <c r="A3444" s="462"/>
      <c r="B3444" s="462"/>
      <c r="C3444" s="21"/>
      <c r="D3444" s="462"/>
    </row>
    <row r="3445" spans="1:4" x14ac:dyDescent="0.2">
      <c r="A3445" s="462"/>
      <c r="B3445" s="462"/>
      <c r="C3445" s="21"/>
      <c r="D3445" s="462"/>
    </row>
    <row r="3446" spans="1:4" x14ac:dyDescent="0.2">
      <c r="A3446" s="462"/>
      <c r="B3446" s="462"/>
      <c r="C3446" s="21"/>
      <c r="D3446" s="462"/>
    </row>
    <row r="3447" spans="1:4" x14ac:dyDescent="0.2">
      <c r="A3447" s="462"/>
      <c r="B3447" s="462"/>
      <c r="C3447" s="21"/>
      <c r="D3447" s="462"/>
    </row>
    <row r="3448" spans="1:4" x14ac:dyDescent="0.2">
      <c r="A3448" s="462"/>
      <c r="B3448" s="462"/>
      <c r="C3448" s="21"/>
      <c r="D3448" s="462"/>
    </row>
    <row r="3449" spans="1:4" x14ac:dyDescent="0.2">
      <c r="A3449" s="462"/>
      <c r="B3449" s="462"/>
      <c r="C3449" s="21"/>
      <c r="D3449" s="462"/>
    </row>
    <row r="3450" spans="1:4" x14ac:dyDescent="0.2">
      <c r="A3450" s="462"/>
      <c r="B3450" s="462"/>
      <c r="C3450" s="21"/>
      <c r="D3450" s="462"/>
    </row>
    <row r="3451" spans="1:4" x14ac:dyDescent="0.2">
      <c r="A3451" s="462"/>
      <c r="B3451" s="462"/>
      <c r="C3451" s="21"/>
      <c r="D3451" s="462"/>
    </row>
    <row r="3452" spans="1:4" x14ac:dyDescent="0.2">
      <c r="A3452" s="462"/>
      <c r="B3452" s="462"/>
      <c r="C3452" s="21"/>
      <c r="D3452" s="462"/>
    </row>
    <row r="3453" spans="1:4" x14ac:dyDescent="0.2">
      <c r="A3453" s="462"/>
      <c r="B3453" s="462"/>
      <c r="C3453" s="21"/>
      <c r="D3453" s="462"/>
    </row>
    <row r="3454" spans="1:4" x14ac:dyDescent="0.2">
      <c r="A3454" s="462"/>
      <c r="B3454" s="462"/>
      <c r="C3454" s="21"/>
      <c r="D3454" s="462"/>
    </row>
    <row r="3455" spans="1:4" x14ac:dyDescent="0.2">
      <c r="A3455" s="462"/>
      <c r="B3455" s="462"/>
      <c r="C3455" s="21"/>
      <c r="D3455" s="462"/>
    </row>
    <row r="3456" spans="1:4" x14ac:dyDescent="0.2">
      <c r="A3456" s="462"/>
      <c r="B3456" s="462"/>
      <c r="C3456" s="21"/>
      <c r="D3456" s="462"/>
    </row>
    <row r="3457" spans="1:4" x14ac:dyDescent="0.2">
      <c r="A3457" s="462"/>
      <c r="B3457" s="462"/>
      <c r="C3457" s="21"/>
      <c r="D3457" s="462"/>
    </row>
    <row r="3458" spans="1:4" x14ac:dyDescent="0.2">
      <c r="A3458" s="462"/>
      <c r="B3458" s="462"/>
      <c r="C3458" s="21"/>
      <c r="D3458" s="462"/>
    </row>
    <row r="3459" spans="1:4" x14ac:dyDescent="0.2">
      <c r="A3459" s="462"/>
      <c r="B3459" s="462"/>
      <c r="C3459" s="21"/>
      <c r="D3459" s="462"/>
    </row>
    <row r="3460" spans="1:4" x14ac:dyDescent="0.2">
      <c r="A3460" s="462"/>
      <c r="B3460" s="462"/>
      <c r="C3460" s="21"/>
      <c r="D3460" s="462"/>
    </row>
    <row r="3461" spans="1:4" x14ac:dyDescent="0.2">
      <c r="A3461" s="462"/>
      <c r="B3461" s="462"/>
      <c r="C3461" s="21"/>
      <c r="D3461" s="462"/>
    </row>
    <row r="3462" spans="1:4" x14ac:dyDescent="0.2">
      <c r="A3462" s="462"/>
      <c r="B3462" s="462"/>
      <c r="C3462" s="21"/>
      <c r="D3462" s="462"/>
    </row>
    <row r="3463" spans="1:4" x14ac:dyDescent="0.2">
      <c r="A3463" s="462"/>
      <c r="B3463" s="462"/>
      <c r="C3463" s="21"/>
      <c r="D3463" s="462"/>
    </row>
    <row r="3464" spans="1:4" x14ac:dyDescent="0.2">
      <c r="A3464" s="462"/>
      <c r="B3464" s="462"/>
      <c r="C3464" s="21"/>
      <c r="D3464" s="462"/>
    </row>
    <row r="3465" spans="1:4" x14ac:dyDescent="0.2">
      <c r="A3465" s="462"/>
      <c r="B3465" s="462"/>
      <c r="C3465" s="21"/>
      <c r="D3465" s="462"/>
    </row>
    <row r="3466" spans="1:4" x14ac:dyDescent="0.2">
      <c r="A3466" s="462"/>
      <c r="B3466" s="462"/>
      <c r="C3466" s="21"/>
      <c r="D3466" s="462"/>
    </row>
    <row r="3467" spans="1:4" x14ac:dyDescent="0.2">
      <c r="A3467" s="462"/>
      <c r="B3467" s="462"/>
      <c r="C3467" s="21"/>
      <c r="D3467" s="462"/>
    </row>
    <row r="3468" spans="1:4" x14ac:dyDescent="0.2">
      <c r="A3468" s="462"/>
      <c r="B3468" s="462"/>
      <c r="C3468" s="21"/>
      <c r="D3468" s="462"/>
    </row>
    <row r="3469" spans="1:4" x14ac:dyDescent="0.2">
      <c r="A3469" s="462"/>
      <c r="B3469" s="462"/>
      <c r="C3469" s="21"/>
      <c r="D3469" s="462"/>
    </row>
    <row r="3470" spans="1:4" x14ac:dyDescent="0.2">
      <c r="A3470" s="462"/>
      <c r="B3470" s="462"/>
      <c r="C3470" s="21"/>
      <c r="D3470" s="462"/>
    </row>
    <row r="3471" spans="1:4" x14ac:dyDescent="0.2">
      <c r="A3471" s="462"/>
      <c r="B3471" s="462"/>
      <c r="C3471" s="21"/>
      <c r="D3471" s="462"/>
    </row>
    <row r="3472" spans="1:4" x14ac:dyDescent="0.2">
      <c r="A3472" s="462"/>
      <c r="B3472" s="462"/>
      <c r="C3472" s="21"/>
      <c r="D3472" s="462"/>
    </row>
    <row r="3473" spans="1:4" x14ac:dyDescent="0.2">
      <c r="A3473" s="462"/>
      <c r="B3473" s="462"/>
      <c r="C3473" s="21"/>
      <c r="D3473" s="462"/>
    </row>
    <row r="3474" spans="1:4" x14ac:dyDescent="0.2">
      <c r="A3474" s="462"/>
      <c r="B3474" s="462"/>
      <c r="C3474" s="21"/>
      <c r="D3474" s="462"/>
    </row>
    <row r="3475" spans="1:4" x14ac:dyDescent="0.2">
      <c r="A3475" s="462"/>
      <c r="B3475" s="462"/>
      <c r="C3475" s="21"/>
      <c r="D3475" s="462"/>
    </row>
    <row r="3476" spans="1:4" x14ac:dyDescent="0.2">
      <c r="A3476" s="462"/>
      <c r="B3476" s="462"/>
      <c r="C3476" s="21"/>
      <c r="D3476" s="462"/>
    </row>
    <row r="3477" spans="1:4" x14ac:dyDescent="0.2">
      <c r="A3477" s="462"/>
      <c r="B3477" s="462"/>
      <c r="C3477" s="21"/>
      <c r="D3477" s="462"/>
    </row>
    <row r="3478" spans="1:4" x14ac:dyDescent="0.2">
      <c r="A3478" s="462"/>
      <c r="B3478" s="462"/>
      <c r="C3478" s="21"/>
      <c r="D3478" s="462"/>
    </row>
    <row r="3479" spans="1:4" x14ac:dyDescent="0.2">
      <c r="A3479" s="462"/>
      <c r="B3479" s="462"/>
      <c r="C3479" s="21"/>
      <c r="D3479" s="462"/>
    </row>
    <row r="3480" spans="1:4" x14ac:dyDescent="0.2">
      <c r="A3480" s="462"/>
      <c r="B3480" s="462"/>
      <c r="C3480" s="21"/>
      <c r="D3480" s="462"/>
    </row>
    <row r="3481" spans="1:4" x14ac:dyDescent="0.2">
      <c r="A3481" s="462"/>
      <c r="B3481" s="462"/>
      <c r="C3481" s="21"/>
      <c r="D3481" s="462"/>
    </row>
    <row r="3482" spans="1:4" x14ac:dyDescent="0.2">
      <c r="A3482" s="462"/>
      <c r="B3482" s="462"/>
      <c r="C3482" s="21"/>
      <c r="D3482" s="462"/>
    </row>
    <row r="3483" spans="1:4" x14ac:dyDescent="0.2">
      <c r="A3483" s="462"/>
      <c r="B3483" s="462"/>
      <c r="C3483" s="21"/>
      <c r="D3483" s="462"/>
    </row>
    <row r="3484" spans="1:4" x14ac:dyDescent="0.2">
      <c r="A3484" s="462"/>
      <c r="B3484" s="462"/>
      <c r="C3484" s="21"/>
      <c r="D3484" s="462"/>
    </row>
    <row r="3485" spans="1:4" x14ac:dyDescent="0.2">
      <c r="A3485" s="462"/>
      <c r="B3485" s="462"/>
      <c r="C3485" s="21"/>
      <c r="D3485" s="462"/>
    </row>
    <row r="3486" spans="1:4" x14ac:dyDescent="0.2">
      <c r="A3486" s="462"/>
      <c r="B3486" s="462"/>
      <c r="C3486" s="21"/>
      <c r="D3486" s="462"/>
    </row>
    <row r="3487" spans="1:4" x14ac:dyDescent="0.2">
      <c r="A3487" s="462"/>
      <c r="B3487" s="462"/>
      <c r="C3487" s="21"/>
      <c r="D3487" s="462"/>
    </row>
    <row r="3488" spans="1:4" x14ac:dyDescent="0.2">
      <c r="A3488" s="462"/>
      <c r="B3488" s="462"/>
      <c r="C3488" s="21"/>
      <c r="D3488" s="462"/>
    </row>
    <row r="3489" spans="1:4" x14ac:dyDescent="0.2">
      <c r="A3489" s="462"/>
      <c r="B3489" s="462"/>
      <c r="C3489" s="21"/>
      <c r="D3489" s="462"/>
    </row>
    <row r="3490" spans="1:4" x14ac:dyDescent="0.2">
      <c r="A3490" s="462"/>
      <c r="B3490" s="462"/>
      <c r="C3490" s="21"/>
      <c r="D3490" s="462"/>
    </row>
    <row r="3491" spans="1:4" x14ac:dyDescent="0.2">
      <c r="A3491" s="462"/>
      <c r="B3491" s="462"/>
      <c r="C3491" s="21"/>
      <c r="D3491" s="462"/>
    </row>
    <row r="3492" spans="1:4" x14ac:dyDescent="0.2">
      <c r="A3492" s="462"/>
      <c r="B3492" s="462"/>
      <c r="C3492" s="21"/>
      <c r="D3492" s="462"/>
    </row>
    <row r="3493" spans="1:4" x14ac:dyDescent="0.2">
      <c r="A3493" s="462"/>
      <c r="B3493" s="462"/>
      <c r="C3493" s="21"/>
      <c r="D3493" s="462"/>
    </row>
    <row r="3494" spans="1:4" x14ac:dyDescent="0.2">
      <c r="A3494" s="462"/>
      <c r="B3494" s="462"/>
      <c r="C3494" s="21"/>
      <c r="D3494" s="462"/>
    </row>
    <row r="3495" spans="1:4" x14ac:dyDescent="0.2">
      <c r="A3495" s="462"/>
      <c r="B3495" s="462"/>
      <c r="C3495" s="21"/>
      <c r="D3495" s="462"/>
    </row>
    <row r="3496" spans="1:4" x14ac:dyDescent="0.2">
      <c r="A3496" s="462"/>
      <c r="B3496" s="462"/>
      <c r="C3496" s="21"/>
      <c r="D3496" s="462"/>
    </row>
    <row r="3497" spans="1:4" x14ac:dyDescent="0.2">
      <c r="A3497" s="462"/>
      <c r="B3497" s="462"/>
      <c r="C3497" s="21"/>
      <c r="D3497" s="462"/>
    </row>
    <row r="3498" spans="1:4" x14ac:dyDescent="0.2">
      <c r="A3498" s="462"/>
      <c r="B3498" s="462"/>
      <c r="C3498" s="21"/>
      <c r="D3498" s="462"/>
    </row>
    <row r="3499" spans="1:4" x14ac:dyDescent="0.2">
      <c r="A3499" s="462"/>
      <c r="B3499" s="462"/>
      <c r="C3499" s="21"/>
      <c r="D3499" s="462"/>
    </row>
    <row r="3500" spans="1:4" x14ac:dyDescent="0.2">
      <c r="A3500" s="462"/>
      <c r="B3500" s="462"/>
      <c r="C3500" s="21"/>
      <c r="D3500" s="462"/>
    </row>
    <row r="3501" spans="1:4" x14ac:dyDescent="0.2">
      <c r="A3501" s="462"/>
      <c r="B3501" s="462"/>
      <c r="C3501" s="21"/>
      <c r="D3501" s="462"/>
    </row>
    <row r="3502" spans="1:4" x14ac:dyDescent="0.2">
      <c r="A3502" s="462"/>
      <c r="B3502" s="462"/>
      <c r="C3502" s="21"/>
      <c r="D3502" s="462"/>
    </row>
    <row r="3503" spans="1:4" x14ac:dyDescent="0.2">
      <c r="A3503" s="462"/>
      <c r="B3503" s="462"/>
      <c r="C3503" s="21"/>
      <c r="D3503" s="462"/>
    </row>
    <row r="3504" spans="1:4" x14ac:dyDescent="0.2">
      <c r="A3504" s="462"/>
      <c r="B3504" s="462"/>
      <c r="C3504" s="21"/>
      <c r="D3504" s="462"/>
    </row>
    <row r="3505" spans="1:4" x14ac:dyDescent="0.2">
      <c r="A3505" s="462"/>
      <c r="B3505" s="462"/>
      <c r="C3505" s="21"/>
      <c r="D3505" s="462"/>
    </row>
    <row r="3506" spans="1:4" x14ac:dyDescent="0.2">
      <c r="A3506" s="462"/>
      <c r="B3506" s="462"/>
      <c r="C3506" s="21"/>
      <c r="D3506" s="462"/>
    </row>
    <row r="3507" spans="1:4" x14ac:dyDescent="0.2">
      <c r="A3507" s="462"/>
      <c r="B3507" s="462"/>
      <c r="C3507" s="21"/>
      <c r="D3507" s="462"/>
    </row>
    <row r="3508" spans="1:4" x14ac:dyDescent="0.2">
      <c r="A3508" s="462"/>
      <c r="B3508" s="462"/>
      <c r="C3508" s="21"/>
      <c r="D3508" s="462"/>
    </row>
    <row r="3509" spans="1:4" x14ac:dyDescent="0.2">
      <c r="A3509" s="462"/>
      <c r="B3509" s="462"/>
      <c r="C3509" s="21"/>
      <c r="D3509" s="462"/>
    </row>
    <row r="3510" spans="1:4" x14ac:dyDescent="0.2">
      <c r="A3510" s="462"/>
      <c r="B3510" s="462"/>
      <c r="C3510" s="21"/>
      <c r="D3510" s="462"/>
    </row>
    <row r="3511" spans="1:4" x14ac:dyDescent="0.2">
      <c r="A3511" s="462"/>
      <c r="B3511" s="462"/>
      <c r="C3511" s="21"/>
      <c r="D3511" s="462"/>
    </row>
    <row r="3512" spans="1:4" x14ac:dyDescent="0.2">
      <c r="A3512" s="462"/>
      <c r="B3512" s="462"/>
      <c r="C3512" s="21"/>
      <c r="D3512" s="462"/>
    </row>
    <row r="3513" spans="1:4" x14ac:dyDescent="0.2">
      <c r="A3513" s="462"/>
      <c r="B3513" s="462"/>
      <c r="C3513" s="21"/>
      <c r="D3513" s="462"/>
    </row>
    <row r="3514" spans="1:4" x14ac:dyDescent="0.2">
      <c r="A3514" s="462"/>
      <c r="B3514" s="462"/>
      <c r="C3514" s="21"/>
      <c r="D3514" s="462"/>
    </row>
    <row r="3515" spans="1:4" x14ac:dyDescent="0.2">
      <c r="A3515" s="462"/>
      <c r="B3515" s="462"/>
      <c r="C3515" s="21"/>
      <c r="D3515" s="462"/>
    </row>
    <row r="3516" spans="1:4" x14ac:dyDescent="0.2">
      <c r="A3516" s="462"/>
      <c r="B3516" s="462"/>
      <c r="C3516" s="21"/>
      <c r="D3516" s="462"/>
    </row>
    <row r="3517" spans="1:4" x14ac:dyDescent="0.2">
      <c r="A3517" s="462"/>
      <c r="B3517" s="462"/>
      <c r="C3517" s="21"/>
      <c r="D3517" s="462"/>
    </row>
    <row r="3518" spans="1:4" x14ac:dyDescent="0.2">
      <c r="A3518" s="462"/>
      <c r="B3518" s="462"/>
      <c r="C3518" s="21"/>
      <c r="D3518" s="462"/>
    </row>
    <row r="3519" spans="1:4" x14ac:dyDescent="0.2">
      <c r="A3519" s="462"/>
      <c r="B3519" s="462"/>
      <c r="C3519" s="21"/>
      <c r="D3519" s="462"/>
    </row>
    <row r="3520" spans="1:4" x14ac:dyDescent="0.2">
      <c r="A3520" s="462"/>
      <c r="B3520" s="462"/>
      <c r="C3520" s="21"/>
      <c r="D3520" s="462"/>
    </row>
    <row r="3521" spans="1:4" x14ac:dyDescent="0.2">
      <c r="A3521" s="462"/>
      <c r="B3521" s="462"/>
      <c r="C3521" s="21"/>
      <c r="D3521" s="462"/>
    </row>
    <row r="3522" spans="1:4" x14ac:dyDescent="0.2">
      <c r="A3522" s="462"/>
      <c r="B3522" s="462"/>
      <c r="C3522" s="21"/>
      <c r="D3522" s="462"/>
    </row>
    <row r="3523" spans="1:4" x14ac:dyDescent="0.2">
      <c r="A3523" s="462"/>
      <c r="B3523" s="462"/>
      <c r="C3523" s="21"/>
      <c r="D3523" s="462"/>
    </row>
    <row r="3524" spans="1:4" x14ac:dyDescent="0.2">
      <c r="A3524" s="462"/>
      <c r="B3524" s="462"/>
      <c r="C3524" s="21"/>
      <c r="D3524" s="462"/>
    </row>
    <row r="3525" spans="1:4" x14ac:dyDescent="0.2">
      <c r="A3525" s="462"/>
      <c r="B3525" s="462"/>
      <c r="C3525" s="21"/>
      <c r="D3525" s="462"/>
    </row>
    <row r="3526" spans="1:4" x14ac:dyDescent="0.2">
      <c r="A3526" s="462"/>
      <c r="B3526" s="462"/>
      <c r="C3526" s="21"/>
      <c r="D3526" s="462"/>
    </row>
    <row r="3527" spans="1:4" x14ac:dyDescent="0.2">
      <c r="A3527" s="462"/>
      <c r="B3527" s="462"/>
      <c r="C3527" s="21"/>
      <c r="D3527" s="462"/>
    </row>
    <row r="3528" spans="1:4" x14ac:dyDescent="0.2">
      <c r="A3528" s="462"/>
      <c r="B3528" s="462"/>
      <c r="C3528" s="21"/>
      <c r="D3528" s="462"/>
    </row>
    <row r="3529" spans="1:4" x14ac:dyDescent="0.2">
      <c r="A3529" s="462"/>
      <c r="B3529" s="462"/>
      <c r="C3529" s="21"/>
      <c r="D3529" s="462"/>
    </row>
    <row r="3530" spans="1:4" x14ac:dyDescent="0.2">
      <c r="A3530" s="462"/>
      <c r="B3530" s="462"/>
      <c r="C3530" s="21"/>
      <c r="D3530" s="462"/>
    </row>
    <row r="3531" spans="1:4" x14ac:dyDescent="0.2">
      <c r="A3531" s="462"/>
      <c r="B3531" s="462"/>
      <c r="C3531" s="21"/>
      <c r="D3531" s="462"/>
    </row>
    <row r="3532" spans="1:4" x14ac:dyDescent="0.2">
      <c r="A3532" s="462"/>
      <c r="B3532" s="462"/>
      <c r="C3532" s="21"/>
      <c r="D3532" s="462"/>
    </row>
    <row r="3533" spans="1:4" x14ac:dyDescent="0.2">
      <c r="A3533" s="462"/>
      <c r="B3533" s="462"/>
      <c r="C3533" s="21"/>
      <c r="D3533" s="462"/>
    </row>
    <row r="3534" spans="1:4" x14ac:dyDescent="0.2">
      <c r="A3534" s="462"/>
      <c r="B3534" s="462"/>
      <c r="C3534" s="21"/>
      <c r="D3534" s="462"/>
    </row>
    <row r="3535" spans="1:4" x14ac:dyDescent="0.2">
      <c r="A3535" s="462"/>
      <c r="B3535" s="462"/>
      <c r="C3535" s="21"/>
      <c r="D3535" s="462"/>
    </row>
    <row r="3536" spans="1:4" x14ac:dyDescent="0.2">
      <c r="A3536" s="462"/>
      <c r="B3536" s="462"/>
      <c r="C3536" s="21"/>
      <c r="D3536" s="462"/>
    </row>
    <row r="3537" spans="1:4" x14ac:dyDescent="0.2">
      <c r="A3537" s="462"/>
      <c r="B3537" s="462"/>
      <c r="C3537" s="21"/>
      <c r="D3537" s="462"/>
    </row>
    <row r="3538" spans="1:4" x14ac:dyDescent="0.2">
      <c r="A3538" s="462"/>
      <c r="B3538" s="462"/>
      <c r="C3538" s="21"/>
      <c r="D3538" s="462"/>
    </row>
    <row r="3539" spans="1:4" x14ac:dyDescent="0.2">
      <c r="A3539" s="462"/>
      <c r="B3539" s="462"/>
      <c r="C3539" s="21"/>
      <c r="D3539" s="462"/>
    </row>
    <row r="3540" spans="1:4" x14ac:dyDescent="0.2">
      <c r="A3540" s="462"/>
      <c r="B3540" s="462"/>
      <c r="C3540" s="21"/>
      <c r="D3540" s="462"/>
    </row>
    <row r="3541" spans="1:4" x14ac:dyDescent="0.2">
      <c r="A3541" s="462"/>
      <c r="B3541" s="462"/>
      <c r="C3541" s="21"/>
      <c r="D3541" s="462"/>
    </row>
    <row r="3542" spans="1:4" x14ac:dyDescent="0.2">
      <c r="A3542" s="462"/>
      <c r="B3542" s="462"/>
      <c r="C3542" s="21"/>
      <c r="D3542" s="462"/>
    </row>
    <row r="3543" spans="1:4" x14ac:dyDescent="0.2">
      <c r="A3543" s="462"/>
      <c r="B3543" s="462"/>
      <c r="C3543" s="21"/>
      <c r="D3543" s="462"/>
    </row>
    <row r="3544" spans="1:4" x14ac:dyDescent="0.2">
      <c r="A3544" s="462"/>
      <c r="B3544" s="462"/>
      <c r="C3544" s="21"/>
      <c r="D3544" s="462"/>
    </row>
    <row r="3545" spans="1:4" x14ac:dyDescent="0.2">
      <c r="A3545" s="462"/>
      <c r="B3545" s="462"/>
      <c r="C3545" s="21"/>
      <c r="D3545" s="462"/>
    </row>
    <row r="3546" spans="1:4" x14ac:dyDescent="0.2">
      <c r="A3546" s="462"/>
      <c r="B3546" s="462"/>
      <c r="C3546" s="21"/>
      <c r="D3546" s="462"/>
    </row>
    <row r="3547" spans="1:4" x14ac:dyDescent="0.2">
      <c r="A3547" s="462"/>
      <c r="B3547" s="462"/>
      <c r="C3547" s="21"/>
      <c r="D3547" s="462"/>
    </row>
    <row r="3548" spans="1:4" x14ac:dyDescent="0.2">
      <c r="A3548" s="462"/>
      <c r="B3548" s="462"/>
      <c r="C3548" s="21"/>
      <c r="D3548" s="462"/>
    </row>
    <row r="3549" spans="1:4" x14ac:dyDescent="0.2">
      <c r="A3549" s="462"/>
      <c r="B3549" s="462"/>
      <c r="C3549" s="21"/>
      <c r="D3549" s="462"/>
    </row>
    <row r="3550" spans="1:4" x14ac:dyDescent="0.2">
      <c r="A3550" s="462"/>
      <c r="B3550" s="462"/>
      <c r="C3550" s="21"/>
      <c r="D3550" s="462"/>
    </row>
    <row r="3551" spans="1:4" x14ac:dyDescent="0.2">
      <c r="A3551" s="462"/>
      <c r="B3551" s="462"/>
      <c r="C3551" s="21"/>
      <c r="D3551" s="462"/>
    </row>
    <row r="3552" spans="1:4" x14ac:dyDescent="0.2">
      <c r="A3552" s="462"/>
      <c r="B3552" s="462"/>
      <c r="C3552" s="21"/>
      <c r="D3552" s="462"/>
    </row>
    <row r="3553" spans="1:4" x14ac:dyDescent="0.2">
      <c r="A3553" s="462"/>
      <c r="B3553" s="462"/>
      <c r="C3553" s="21"/>
      <c r="D3553" s="462"/>
    </row>
    <row r="3554" spans="1:4" x14ac:dyDescent="0.2">
      <c r="A3554" s="462"/>
      <c r="B3554" s="462"/>
      <c r="C3554" s="21"/>
      <c r="D3554" s="462"/>
    </row>
    <row r="3555" spans="1:4" x14ac:dyDescent="0.2">
      <c r="A3555" s="462"/>
      <c r="B3555" s="462"/>
      <c r="C3555" s="21"/>
      <c r="D3555" s="462"/>
    </row>
    <row r="3556" spans="1:4" x14ac:dyDescent="0.2">
      <c r="A3556" s="462"/>
      <c r="B3556" s="462"/>
      <c r="C3556" s="21"/>
      <c r="D3556" s="462"/>
    </row>
    <row r="3557" spans="1:4" x14ac:dyDescent="0.2">
      <c r="A3557" s="462"/>
      <c r="B3557" s="462"/>
      <c r="C3557" s="21"/>
      <c r="D3557" s="462"/>
    </row>
    <row r="3558" spans="1:4" x14ac:dyDescent="0.2">
      <c r="A3558" s="462"/>
      <c r="B3558" s="462"/>
      <c r="C3558" s="21"/>
      <c r="D3558" s="462"/>
    </row>
    <row r="3559" spans="1:4" x14ac:dyDescent="0.2">
      <c r="A3559" s="462"/>
      <c r="B3559" s="462"/>
      <c r="C3559" s="21"/>
      <c r="D3559" s="462"/>
    </row>
    <row r="3560" spans="1:4" x14ac:dyDescent="0.2">
      <c r="A3560" s="462"/>
      <c r="B3560" s="462"/>
      <c r="C3560" s="21"/>
      <c r="D3560" s="462"/>
    </row>
    <row r="3561" spans="1:4" x14ac:dyDescent="0.2">
      <c r="A3561" s="462"/>
      <c r="B3561" s="462"/>
      <c r="C3561" s="21"/>
      <c r="D3561" s="462"/>
    </row>
    <row r="3562" spans="1:4" x14ac:dyDescent="0.2">
      <c r="A3562" s="462"/>
      <c r="B3562" s="462"/>
      <c r="C3562" s="21"/>
      <c r="D3562" s="462"/>
    </row>
    <row r="3563" spans="1:4" x14ac:dyDescent="0.2">
      <c r="A3563" s="462"/>
      <c r="B3563" s="462"/>
      <c r="C3563" s="21"/>
      <c r="D3563" s="462"/>
    </row>
    <row r="3564" spans="1:4" x14ac:dyDescent="0.2">
      <c r="A3564" s="462"/>
      <c r="B3564" s="462"/>
      <c r="C3564" s="21"/>
      <c r="D3564" s="462"/>
    </row>
    <row r="3565" spans="1:4" x14ac:dyDescent="0.2">
      <c r="A3565" s="462"/>
      <c r="B3565" s="462"/>
      <c r="C3565" s="21"/>
      <c r="D3565" s="462"/>
    </row>
    <row r="3566" spans="1:4" x14ac:dyDescent="0.2">
      <c r="A3566" s="462"/>
      <c r="B3566" s="462"/>
      <c r="C3566" s="21"/>
      <c r="D3566" s="462"/>
    </row>
    <row r="3567" spans="1:4" x14ac:dyDescent="0.2">
      <c r="A3567" s="462"/>
      <c r="B3567" s="462"/>
      <c r="C3567" s="21"/>
      <c r="D3567" s="462"/>
    </row>
    <row r="3568" spans="1:4" x14ac:dyDescent="0.2">
      <c r="A3568" s="462"/>
      <c r="B3568" s="462"/>
      <c r="C3568" s="21"/>
      <c r="D3568" s="462"/>
    </row>
    <row r="3569" spans="1:4" x14ac:dyDescent="0.2">
      <c r="A3569" s="462"/>
      <c r="B3569" s="462"/>
      <c r="C3569" s="21"/>
      <c r="D3569" s="462"/>
    </row>
    <row r="3570" spans="1:4" x14ac:dyDescent="0.2">
      <c r="A3570" s="462"/>
      <c r="B3570" s="462"/>
      <c r="C3570" s="21"/>
      <c r="D3570" s="462"/>
    </row>
    <row r="3571" spans="1:4" x14ac:dyDescent="0.2">
      <c r="A3571" s="462"/>
      <c r="B3571" s="462"/>
      <c r="C3571" s="21"/>
      <c r="D3571" s="462"/>
    </row>
    <row r="3572" spans="1:4" x14ac:dyDescent="0.2">
      <c r="A3572" s="462"/>
      <c r="B3572" s="462"/>
      <c r="C3572" s="21"/>
      <c r="D3572" s="462"/>
    </row>
    <row r="3573" spans="1:4" x14ac:dyDescent="0.2">
      <c r="A3573" s="462"/>
      <c r="B3573" s="462"/>
      <c r="C3573" s="21"/>
      <c r="D3573" s="462"/>
    </row>
    <row r="3574" spans="1:4" x14ac:dyDescent="0.2">
      <c r="A3574" s="462"/>
      <c r="B3574" s="462"/>
      <c r="C3574" s="21"/>
      <c r="D3574" s="462"/>
    </row>
    <row r="3575" spans="1:4" x14ac:dyDescent="0.2">
      <c r="A3575" s="462"/>
      <c r="B3575" s="462"/>
      <c r="C3575" s="21"/>
      <c r="D3575" s="462"/>
    </row>
    <row r="3576" spans="1:4" x14ac:dyDescent="0.2">
      <c r="A3576" s="462"/>
      <c r="B3576" s="462"/>
      <c r="C3576" s="21"/>
      <c r="D3576" s="462"/>
    </row>
    <row r="3577" spans="1:4" x14ac:dyDescent="0.2">
      <c r="A3577" s="462"/>
      <c r="B3577" s="462"/>
      <c r="C3577" s="21"/>
      <c r="D3577" s="462"/>
    </row>
    <row r="3578" spans="1:4" x14ac:dyDescent="0.2">
      <c r="A3578" s="462"/>
      <c r="B3578" s="462"/>
      <c r="C3578" s="21"/>
      <c r="D3578" s="462"/>
    </row>
    <row r="3579" spans="1:4" x14ac:dyDescent="0.2">
      <c r="A3579" s="462"/>
      <c r="B3579" s="462"/>
      <c r="C3579" s="21"/>
      <c r="D3579" s="462"/>
    </row>
    <row r="3580" spans="1:4" x14ac:dyDescent="0.2">
      <c r="A3580" s="462"/>
      <c r="B3580" s="462"/>
      <c r="C3580" s="21"/>
      <c r="D3580" s="462"/>
    </row>
    <row r="3581" spans="1:4" x14ac:dyDescent="0.2">
      <c r="A3581" s="462"/>
      <c r="B3581" s="462"/>
      <c r="C3581" s="21"/>
      <c r="D3581" s="462"/>
    </row>
    <row r="3582" spans="1:4" x14ac:dyDescent="0.2">
      <c r="A3582" s="462"/>
      <c r="B3582" s="462"/>
      <c r="C3582" s="21"/>
      <c r="D3582" s="462"/>
    </row>
    <row r="3583" spans="1:4" x14ac:dyDescent="0.2">
      <c r="A3583" s="462"/>
      <c r="B3583" s="462"/>
      <c r="C3583" s="21"/>
      <c r="D3583" s="462"/>
    </row>
    <row r="3584" spans="1:4" x14ac:dyDescent="0.2">
      <c r="A3584" s="462"/>
      <c r="B3584" s="462"/>
      <c r="C3584" s="21"/>
      <c r="D3584" s="462"/>
    </row>
    <row r="3585" spans="1:4" x14ac:dyDescent="0.2">
      <c r="A3585" s="462"/>
      <c r="B3585" s="462"/>
      <c r="C3585" s="21"/>
      <c r="D3585" s="462"/>
    </row>
    <row r="3586" spans="1:4" x14ac:dyDescent="0.2">
      <c r="A3586" s="462"/>
      <c r="B3586" s="462"/>
      <c r="C3586" s="21"/>
      <c r="D3586" s="462"/>
    </row>
    <row r="3587" spans="1:4" x14ac:dyDescent="0.2">
      <c r="A3587" s="462"/>
      <c r="B3587" s="462"/>
      <c r="C3587" s="21"/>
      <c r="D3587" s="462"/>
    </row>
    <row r="3588" spans="1:4" x14ac:dyDescent="0.2">
      <c r="A3588" s="462"/>
      <c r="B3588" s="462"/>
      <c r="C3588" s="21"/>
      <c r="D3588" s="462"/>
    </row>
    <row r="3589" spans="1:4" x14ac:dyDescent="0.2">
      <c r="A3589" s="462"/>
      <c r="B3589" s="462"/>
      <c r="C3589" s="21"/>
      <c r="D3589" s="462"/>
    </row>
    <row r="3590" spans="1:4" x14ac:dyDescent="0.2">
      <c r="A3590" s="462"/>
      <c r="B3590" s="462"/>
      <c r="C3590" s="21"/>
      <c r="D3590" s="462"/>
    </row>
    <row r="3591" spans="1:4" x14ac:dyDescent="0.2">
      <c r="A3591" s="462"/>
      <c r="B3591" s="462"/>
      <c r="C3591" s="21"/>
      <c r="D3591" s="462"/>
    </row>
    <row r="3592" spans="1:4" x14ac:dyDescent="0.2">
      <c r="A3592" s="462"/>
      <c r="B3592" s="462"/>
      <c r="C3592" s="21"/>
      <c r="D3592" s="462"/>
    </row>
    <row r="3593" spans="1:4" x14ac:dyDescent="0.2">
      <c r="A3593" s="462"/>
      <c r="B3593" s="462"/>
      <c r="C3593" s="21"/>
      <c r="D3593" s="462"/>
    </row>
    <row r="3594" spans="1:4" x14ac:dyDescent="0.2">
      <c r="A3594" s="462"/>
      <c r="B3594" s="462"/>
      <c r="C3594" s="21"/>
      <c r="D3594" s="462"/>
    </row>
    <row r="3595" spans="1:4" x14ac:dyDescent="0.2">
      <c r="A3595" s="462"/>
      <c r="B3595" s="462"/>
      <c r="C3595" s="21"/>
      <c r="D3595" s="462"/>
    </row>
    <row r="3596" spans="1:4" x14ac:dyDescent="0.2">
      <c r="A3596" s="462"/>
      <c r="B3596" s="462"/>
      <c r="C3596" s="21"/>
      <c r="D3596" s="462"/>
    </row>
    <row r="3597" spans="1:4" x14ac:dyDescent="0.2">
      <c r="A3597" s="462"/>
      <c r="B3597" s="462"/>
      <c r="C3597" s="21"/>
      <c r="D3597" s="462"/>
    </row>
    <row r="3598" spans="1:4" x14ac:dyDescent="0.2">
      <c r="A3598" s="462"/>
      <c r="B3598" s="462"/>
      <c r="C3598" s="21"/>
      <c r="D3598" s="462"/>
    </row>
    <row r="3599" spans="1:4" x14ac:dyDescent="0.2">
      <c r="A3599" s="462"/>
      <c r="B3599" s="462"/>
      <c r="C3599" s="21"/>
      <c r="D3599" s="462"/>
    </row>
    <row r="3600" spans="1:4" x14ac:dyDescent="0.2">
      <c r="A3600" s="462"/>
      <c r="B3600" s="462"/>
      <c r="C3600" s="21"/>
      <c r="D3600" s="462"/>
    </row>
    <row r="3601" spans="1:4" x14ac:dyDescent="0.2">
      <c r="A3601" s="462"/>
      <c r="B3601" s="462"/>
      <c r="C3601" s="21"/>
      <c r="D3601" s="462"/>
    </row>
    <row r="3602" spans="1:4" x14ac:dyDescent="0.2">
      <c r="A3602" s="462"/>
      <c r="B3602" s="462"/>
      <c r="C3602" s="21"/>
      <c r="D3602" s="462"/>
    </row>
    <row r="3603" spans="1:4" x14ac:dyDescent="0.2">
      <c r="A3603" s="462"/>
      <c r="B3603" s="462"/>
      <c r="C3603" s="21"/>
      <c r="D3603" s="462"/>
    </row>
    <row r="3604" spans="1:4" x14ac:dyDescent="0.2">
      <c r="A3604" s="462"/>
      <c r="B3604" s="462"/>
      <c r="C3604" s="21"/>
      <c r="D3604" s="462"/>
    </row>
    <row r="3605" spans="1:4" x14ac:dyDescent="0.2">
      <c r="A3605" s="462"/>
      <c r="B3605" s="462"/>
      <c r="C3605" s="21"/>
      <c r="D3605" s="462"/>
    </row>
    <row r="3606" spans="1:4" x14ac:dyDescent="0.2">
      <c r="A3606" s="462"/>
      <c r="B3606" s="462"/>
      <c r="C3606" s="21"/>
      <c r="D3606" s="462"/>
    </row>
    <row r="3607" spans="1:4" x14ac:dyDescent="0.2">
      <c r="A3607" s="462"/>
      <c r="B3607" s="462"/>
      <c r="C3607" s="21"/>
      <c r="D3607" s="462"/>
    </row>
    <row r="3608" spans="1:4" x14ac:dyDescent="0.2">
      <c r="A3608" s="462"/>
      <c r="B3608" s="462"/>
      <c r="C3608" s="21"/>
      <c r="D3608" s="462"/>
    </row>
    <row r="3609" spans="1:4" x14ac:dyDescent="0.2">
      <c r="A3609" s="462"/>
      <c r="B3609" s="462"/>
      <c r="C3609" s="21"/>
      <c r="D3609" s="462"/>
    </row>
    <row r="3610" spans="1:4" x14ac:dyDescent="0.2">
      <c r="A3610" s="462"/>
      <c r="B3610" s="462"/>
      <c r="C3610" s="21"/>
      <c r="D3610" s="462"/>
    </row>
    <row r="3611" spans="1:4" x14ac:dyDescent="0.2">
      <c r="A3611" s="462"/>
      <c r="B3611" s="462"/>
      <c r="C3611" s="21"/>
      <c r="D3611" s="462"/>
    </row>
    <row r="3612" spans="1:4" x14ac:dyDescent="0.2">
      <c r="A3612" s="462"/>
      <c r="B3612" s="462"/>
      <c r="C3612" s="21"/>
      <c r="D3612" s="462"/>
    </row>
    <row r="3613" spans="1:4" x14ac:dyDescent="0.2">
      <c r="A3613" s="462"/>
      <c r="B3613" s="462"/>
      <c r="C3613" s="21"/>
      <c r="D3613" s="462"/>
    </row>
    <row r="3614" spans="1:4" x14ac:dyDescent="0.2">
      <c r="A3614" s="462"/>
      <c r="B3614" s="462"/>
      <c r="C3614" s="21"/>
      <c r="D3614" s="462"/>
    </row>
    <row r="3615" spans="1:4" x14ac:dyDescent="0.2">
      <c r="A3615" s="462"/>
      <c r="B3615" s="462"/>
      <c r="C3615" s="21"/>
      <c r="D3615" s="462"/>
    </row>
    <row r="3616" spans="1:4" x14ac:dyDescent="0.2">
      <c r="A3616" s="462"/>
      <c r="B3616" s="462"/>
      <c r="C3616" s="21"/>
      <c r="D3616" s="462"/>
    </row>
    <row r="3617" spans="1:4" x14ac:dyDescent="0.2">
      <c r="A3617" s="462"/>
      <c r="B3617" s="462"/>
      <c r="C3617" s="21"/>
      <c r="D3617" s="462"/>
    </row>
    <row r="3618" spans="1:4" x14ac:dyDescent="0.2">
      <c r="A3618" s="462"/>
      <c r="B3618" s="462"/>
      <c r="C3618" s="21"/>
      <c r="D3618" s="462"/>
    </row>
    <row r="3619" spans="1:4" x14ac:dyDescent="0.2">
      <c r="A3619" s="462"/>
      <c r="B3619" s="462"/>
      <c r="C3619" s="21"/>
      <c r="D3619" s="462"/>
    </row>
    <row r="3620" spans="1:4" x14ac:dyDescent="0.2">
      <c r="A3620" s="462"/>
      <c r="B3620" s="462"/>
      <c r="C3620" s="21"/>
      <c r="D3620" s="462"/>
    </row>
    <row r="3621" spans="1:4" x14ac:dyDescent="0.2">
      <c r="A3621" s="462"/>
      <c r="B3621" s="462"/>
      <c r="C3621" s="21"/>
      <c r="D3621" s="462"/>
    </row>
    <row r="3622" spans="1:4" x14ac:dyDescent="0.2">
      <c r="A3622" s="462"/>
      <c r="B3622" s="462"/>
      <c r="C3622" s="21"/>
      <c r="D3622" s="462"/>
    </row>
    <row r="3623" spans="1:4" x14ac:dyDescent="0.2">
      <c r="A3623" s="462"/>
      <c r="B3623" s="462"/>
      <c r="C3623" s="21"/>
      <c r="D3623" s="462"/>
    </row>
    <row r="3624" spans="1:4" x14ac:dyDescent="0.2">
      <c r="A3624" s="462"/>
      <c r="B3624" s="462"/>
      <c r="C3624" s="21"/>
      <c r="D3624" s="462"/>
    </row>
    <row r="3625" spans="1:4" x14ac:dyDescent="0.2">
      <c r="A3625" s="462"/>
      <c r="B3625" s="462"/>
      <c r="C3625" s="21"/>
      <c r="D3625" s="462"/>
    </row>
    <row r="3626" spans="1:4" x14ac:dyDescent="0.2">
      <c r="A3626" s="462"/>
      <c r="B3626" s="462"/>
      <c r="C3626" s="21"/>
      <c r="D3626" s="462"/>
    </row>
    <row r="3627" spans="1:4" x14ac:dyDescent="0.2">
      <c r="A3627" s="462"/>
      <c r="B3627" s="462"/>
      <c r="C3627" s="21"/>
      <c r="D3627" s="462"/>
    </row>
    <row r="3628" spans="1:4" x14ac:dyDescent="0.2">
      <c r="A3628" s="462"/>
      <c r="B3628" s="462"/>
      <c r="C3628" s="21"/>
      <c r="D3628" s="462"/>
    </row>
    <row r="3629" spans="1:4" x14ac:dyDescent="0.2">
      <c r="A3629" s="462"/>
      <c r="B3629" s="462"/>
      <c r="C3629" s="21"/>
      <c r="D3629" s="462"/>
    </row>
    <row r="3630" spans="1:4" x14ac:dyDescent="0.2">
      <c r="A3630" s="462"/>
      <c r="B3630" s="462"/>
      <c r="C3630" s="21"/>
      <c r="D3630" s="462"/>
    </row>
    <row r="3631" spans="1:4" x14ac:dyDescent="0.2">
      <c r="A3631" s="462"/>
      <c r="B3631" s="462"/>
      <c r="C3631" s="21"/>
      <c r="D3631" s="462"/>
    </row>
    <row r="3632" spans="1:4" x14ac:dyDescent="0.2">
      <c r="A3632" s="462"/>
      <c r="B3632" s="462"/>
      <c r="C3632" s="21"/>
      <c r="D3632" s="462"/>
    </row>
    <row r="3633" spans="1:4" x14ac:dyDescent="0.2">
      <c r="A3633" s="462"/>
      <c r="B3633" s="462"/>
      <c r="C3633" s="21"/>
      <c r="D3633" s="462"/>
    </row>
    <row r="3634" spans="1:4" x14ac:dyDescent="0.2">
      <c r="A3634" s="462"/>
      <c r="B3634" s="462"/>
      <c r="C3634" s="21"/>
      <c r="D3634" s="462"/>
    </row>
    <row r="3635" spans="1:4" x14ac:dyDescent="0.2">
      <c r="A3635" s="462"/>
      <c r="B3635" s="462"/>
      <c r="C3635" s="21"/>
      <c r="D3635" s="462"/>
    </row>
    <row r="3636" spans="1:4" x14ac:dyDescent="0.2">
      <c r="A3636" s="462"/>
      <c r="B3636" s="462"/>
      <c r="C3636" s="21"/>
      <c r="D3636" s="462"/>
    </row>
    <row r="3637" spans="1:4" x14ac:dyDescent="0.2">
      <c r="A3637" s="462"/>
      <c r="B3637" s="462"/>
      <c r="C3637" s="21"/>
      <c r="D3637" s="462"/>
    </row>
    <row r="3638" spans="1:4" x14ac:dyDescent="0.2">
      <c r="A3638" s="462"/>
      <c r="B3638" s="462"/>
      <c r="C3638" s="21"/>
      <c r="D3638" s="462"/>
    </row>
    <row r="3639" spans="1:4" x14ac:dyDescent="0.2">
      <c r="A3639" s="462"/>
      <c r="B3639" s="462"/>
      <c r="C3639" s="21"/>
      <c r="D3639" s="462"/>
    </row>
    <row r="3640" spans="1:4" x14ac:dyDescent="0.2">
      <c r="A3640" s="462"/>
      <c r="B3640" s="462"/>
      <c r="C3640" s="21"/>
      <c r="D3640" s="462"/>
    </row>
    <row r="3641" spans="1:4" x14ac:dyDescent="0.2">
      <c r="A3641" s="462"/>
      <c r="B3641" s="462"/>
      <c r="C3641" s="21"/>
      <c r="D3641" s="462"/>
    </row>
    <row r="3642" spans="1:4" x14ac:dyDescent="0.2">
      <c r="A3642" s="462"/>
      <c r="B3642" s="462"/>
      <c r="C3642" s="21"/>
      <c r="D3642" s="462"/>
    </row>
    <row r="3643" spans="1:4" x14ac:dyDescent="0.2">
      <c r="A3643" s="462"/>
      <c r="B3643" s="462"/>
      <c r="C3643" s="21"/>
      <c r="D3643" s="462"/>
    </row>
    <row r="3644" spans="1:4" x14ac:dyDescent="0.2">
      <c r="A3644" s="462"/>
      <c r="B3644" s="462"/>
      <c r="C3644" s="21"/>
      <c r="D3644" s="462"/>
    </row>
    <row r="3645" spans="1:4" x14ac:dyDescent="0.2">
      <c r="A3645" s="462"/>
      <c r="B3645" s="462"/>
      <c r="C3645" s="21"/>
      <c r="D3645" s="462"/>
    </row>
    <row r="3646" spans="1:4" x14ac:dyDescent="0.2">
      <c r="A3646" s="462"/>
      <c r="B3646" s="462"/>
      <c r="C3646" s="21"/>
      <c r="D3646" s="462"/>
    </row>
    <row r="3647" spans="1:4" x14ac:dyDescent="0.2">
      <c r="A3647" s="462"/>
      <c r="B3647" s="462"/>
      <c r="C3647" s="21"/>
      <c r="D3647" s="462"/>
    </row>
    <row r="3648" spans="1:4" x14ac:dyDescent="0.2">
      <c r="A3648" s="462"/>
      <c r="B3648" s="462"/>
      <c r="C3648" s="21"/>
      <c r="D3648" s="462"/>
    </row>
    <row r="3649" spans="1:4" x14ac:dyDescent="0.2">
      <c r="A3649" s="462"/>
      <c r="B3649" s="462"/>
      <c r="C3649" s="21"/>
      <c r="D3649" s="462"/>
    </row>
    <row r="3650" spans="1:4" x14ac:dyDescent="0.2">
      <c r="A3650" s="462"/>
      <c r="B3650" s="462"/>
      <c r="C3650" s="21"/>
      <c r="D3650" s="462"/>
    </row>
    <row r="3651" spans="1:4" x14ac:dyDescent="0.2">
      <c r="A3651" s="462"/>
      <c r="B3651" s="462"/>
      <c r="C3651" s="21"/>
      <c r="D3651" s="462"/>
    </row>
    <row r="3652" spans="1:4" x14ac:dyDescent="0.2">
      <c r="A3652" s="462"/>
      <c r="B3652" s="462"/>
      <c r="C3652" s="21"/>
      <c r="D3652" s="462"/>
    </row>
    <row r="3653" spans="1:4" x14ac:dyDescent="0.2">
      <c r="A3653" s="462"/>
      <c r="B3653" s="462"/>
      <c r="C3653" s="21"/>
      <c r="D3653" s="462"/>
    </row>
    <row r="3654" spans="1:4" x14ac:dyDescent="0.2">
      <c r="A3654" s="462"/>
      <c r="B3654" s="462"/>
      <c r="C3654" s="21"/>
      <c r="D3654" s="462"/>
    </row>
    <row r="3655" spans="1:4" x14ac:dyDescent="0.2">
      <c r="A3655" s="462"/>
      <c r="B3655" s="462"/>
      <c r="C3655" s="21"/>
      <c r="D3655" s="462"/>
    </row>
    <row r="3656" spans="1:4" x14ac:dyDescent="0.2">
      <c r="A3656" s="462"/>
      <c r="B3656" s="462"/>
      <c r="C3656" s="21"/>
      <c r="D3656" s="462"/>
    </row>
    <row r="3657" spans="1:4" x14ac:dyDescent="0.2">
      <c r="A3657" s="462"/>
      <c r="B3657" s="462"/>
      <c r="C3657" s="21"/>
      <c r="D3657" s="462"/>
    </row>
    <row r="3658" spans="1:4" x14ac:dyDescent="0.2">
      <c r="A3658" s="462"/>
      <c r="B3658" s="462"/>
      <c r="C3658" s="21"/>
      <c r="D3658" s="462"/>
    </row>
    <row r="3659" spans="1:4" x14ac:dyDescent="0.2">
      <c r="A3659" s="462"/>
      <c r="B3659" s="462"/>
      <c r="C3659" s="21"/>
      <c r="D3659" s="462"/>
    </row>
    <row r="3660" spans="1:4" x14ac:dyDescent="0.2">
      <c r="A3660" s="462"/>
      <c r="B3660" s="462"/>
      <c r="C3660" s="21"/>
      <c r="D3660" s="462"/>
    </row>
    <row r="3661" spans="1:4" x14ac:dyDescent="0.2">
      <c r="A3661" s="462"/>
      <c r="B3661" s="462"/>
      <c r="C3661" s="21"/>
      <c r="D3661" s="462"/>
    </row>
    <row r="3662" spans="1:4" x14ac:dyDescent="0.2">
      <c r="A3662" s="462"/>
      <c r="B3662" s="462"/>
      <c r="C3662" s="21"/>
      <c r="D3662" s="462"/>
    </row>
    <row r="3663" spans="1:4" x14ac:dyDescent="0.2">
      <c r="A3663" s="462"/>
      <c r="B3663" s="462"/>
      <c r="C3663" s="21"/>
      <c r="D3663" s="462"/>
    </row>
    <row r="3664" spans="1:4" x14ac:dyDescent="0.2">
      <c r="A3664" s="462"/>
      <c r="B3664" s="462"/>
      <c r="C3664" s="21"/>
      <c r="D3664" s="462"/>
    </row>
    <row r="3665" spans="1:4" x14ac:dyDescent="0.2">
      <c r="A3665" s="462"/>
      <c r="B3665" s="462"/>
      <c r="C3665" s="21"/>
      <c r="D3665" s="462"/>
    </row>
    <row r="3666" spans="1:4" x14ac:dyDescent="0.2">
      <c r="A3666" s="462"/>
      <c r="B3666" s="462"/>
      <c r="C3666" s="21"/>
      <c r="D3666" s="462"/>
    </row>
    <row r="3667" spans="1:4" x14ac:dyDescent="0.2">
      <c r="A3667" s="462"/>
      <c r="B3667" s="462"/>
      <c r="C3667" s="21"/>
      <c r="D3667" s="462"/>
    </row>
    <row r="3668" spans="1:4" x14ac:dyDescent="0.2">
      <c r="A3668" s="462"/>
      <c r="B3668" s="462"/>
      <c r="C3668" s="21"/>
      <c r="D3668" s="462"/>
    </row>
    <row r="3669" spans="1:4" x14ac:dyDescent="0.2">
      <c r="A3669" s="462"/>
      <c r="B3669" s="462"/>
      <c r="C3669" s="21"/>
      <c r="D3669" s="462"/>
    </row>
    <row r="3670" spans="1:4" x14ac:dyDescent="0.2">
      <c r="A3670" s="462"/>
      <c r="B3670" s="462"/>
      <c r="C3670" s="21"/>
      <c r="D3670" s="462"/>
    </row>
    <row r="3671" spans="1:4" x14ac:dyDescent="0.2">
      <c r="A3671" s="462"/>
      <c r="B3671" s="462"/>
      <c r="C3671" s="21"/>
      <c r="D3671" s="462"/>
    </row>
    <row r="3672" spans="1:4" x14ac:dyDescent="0.2">
      <c r="A3672" s="462"/>
      <c r="B3672" s="462"/>
      <c r="C3672" s="21"/>
      <c r="D3672" s="462"/>
    </row>
    <row r="3673" spans="1:4" x14ac:dyDescent="0.2">
      <c r="A3673" s="462"/>
      <c r="B3673" s="462"/>
      <c r="C3673" s="21"/>
      <c r="D3673" s="462"/>
    </row>
    <row r="3674" spans="1:4" x14ac:dyDescent="0.2">
      <c r="A3674" s="462"/>
      <c r="B3674" s="462"/>
      <c r="C3674" s="21"/>
      <c r="D3674" s="462"/>
    </row>
    <row r="3675" spans="1:4" x14ac:dyDescent="0.2">
      <c r="A3675" s="462"/>
      <c r="B3675" s="462"/>
      <c r="C3675" s="21"/>
      <c r="D3675" s="462"/>
    </row>
    <row r="3676" spans="1:4" x14ac:dyDescent="0.2">
      <c r="A3676" s="462"/>
      <c r="B3676" s="462"/>
      <c r="C3676" s="21"/>
      <c r="D3676" s="462"/>
    </row>
    <row r="3677" spans="1:4" x14ac:dyDescent="0.2">
      <c r="A3677" s="462"/>
      <c r="B3677" s="462"/>
      <c r="C3677" s="21"/>
      <c r="D3677" s="462"/>
    </row>
    <row r="3678" spans="1:4" x14ac:dyDescent="0.2">
      <c r="A3678" s="462"/>
      <c r="B3678" s="462"/>
      <c r="C3678" s="21"/>
      <c r="D3678" s="462"/>
    </row>
    <row r="3679" spans="1:4" x14ac:dyDescent="0.2">
      <c r="A3679" s="462"/>
      <c r="B3679" s="462"/>
      <c r="C3679" s="21"/>
      <c r="D3679" s="462"/>
    </row>
    <row r="3680" spans="1:4" x14ac:dyDescent="0.2">
      <c r="A3680" s="462"/>
      <c r="B3680" s="462"/>
      <c r="C3680" s="21"/>
      <c r="D3680" s="462"/>
    </row>
    <row r="3681" spans="1:4" x14ac:dyDescent="0.2">
      <c r="A3681" s="462"/>
      <c r="B3681" s="462"/>
      <c r="C3681" s="21"/>
      <c r="D3681" s="462"/>
    </row>
    <row r="3682" spans="1:4" x14ac:dyDescent="0.2">
      <c r="A3682" s="462"/>
      <c r="B3682" s="462"/>
      <c r="C3682" s="21"/>
      <c r="D3682" s="462"/>
    </row>
    <row r="3683" spans="1:4" x14ac:dyDescent="0.2">
      <c r="A3683" s="462"/>
      <c r="B3683" s="462"/>
      <c r="C3683" s="21"/>
      <c r="D3683" s="462"/>
    </row>
    <row r="3684" spans="1:4" x14ac:dyDescent="0.2">
      <c r="A3684" s="462"/>
      <c r="B3684" s="462"/>
      <c r="C3684" s="21"/>
      <c r="D3684" s="462"/>
    </row>
    <row r="3685" spans="1:4" x14ac:dyDescent="0.2">
      <c r="A3685" s="462"/>
      <c r="B3685" s="462"/>
      <c r="C3685" s="21"/>
      <c r="D3685" s="462"/>
    </row>
    <row r="3686" spans="1:4" x14ac:dyDescent="0.2">
      <c r="A3686" s="462"/>
      <c r="B3686" s="462"/>
      <c r="C3686" s="21"/>
      <c r="D3686" s="462"/>
    </row>
    <row r="3687" spans="1:4" x14ac:dyDescent="0.2">
      <c r="A3687" s="462"/>
      <c r="B3687" s="462"/>
      <c r="C3687" s="21"/>
      <c r="D3687" s="462"/>
    </row>
    <row r="3688" spans="1:4" x14ac:dyDescent="0.2">
      <c r="A3688" s="462"/>
      <c r="B3688" s="462"/>
      <c r="C3688" s="21"/>
      <c r="D3688" s="462"/>
    </row>
    <row r="3689" spans="1:4" x14ac:dyDescent="0.2">
      <c r="A3689" s="462"/>
      <c r="B3689" s="462"/>
      <c r="C3689" s="21"/>
      <c r="D3689" s="462"/>
    </row>
    <row r="3690" spans="1:4" x14ac:dyDescent="0.2">
      <c r="A3690" s="462"/>
      <c r="B3690" s="462"/>
      <c r="C3690" s="21"/>
      <c r="D3690" s="462"/>
    </row>
    <row r="3691" spans="1:4" x14ac:dyDescent="0.2">
      <c r="A3691" s="462"/>
      <c r="B3691" s="462"/>
      <c r="C3691" s="21"/>
      <c r="D3691" s="462"/>
    </row>
    <row r="3692" spans="1:4" x14ac:dyDescent="0.2">
      <c r="A3692" s="462"/>
      <c r="B3692" s="462"/>
      <c r="C3692" s="21"/>
      <c r="D3692" s="462"/>
    </row>
    <row r="3693" spans="1:4" x14ac:dyDescent="0.2">
      <c r="A3693" s="462"/>
      <c r="B3693" s="462"/>
      <c r="C3693" s="21"/>
      <c r="D3693" s="462"/>
    </row>
    <row r="3694" spans="1:4" x14ac:dyDescent="0.2">
      <c r="A3694" s="462"/>
      <c r="B3694" s="462"/>
      <c r="C3694" s="21"/>
      <c r="D3694" s="462"/>
    </row>
    <row r="3695" spans="1:4" x14ac:dyDescent="0.2">
      <c r="A3695" s="462"/>
      <c r="B3695" s="462"/>
      <c r="C3695" s="21"/>
      <c r="D3695" s="462"/>
    </row>
    <row r="3696" spans="1:4" x14ac:dyDescent="0.2">
      <c r="A3696" s="462"/>
      <c r="B3696" s="462"/>
      <c r="C3696" s="21"/>
      <c r="D3696" s="462"/>
    </row>
    <row r="3697" spans="1:4" x14ac:dyDescent="0.2">
      <c r="A3697" s="462"/>
      <c r="B3697" s="462"/>
      <c r="C3697" s="21"/>
      <c r="D3697" s="462"/>
    </row>
    <row r="3698" spans="1:4" x14ac:dyDescent="0.2">
      <c r="A3698" s="462"/>
      <c r="B3698" s="462"/>
      <c r="C3698" s="21"/>
      <c r="D3698" s="462"/>
    </row>
    <row r="3699" spans="1:4" x14ac:dyDescent="0.2">
      <c r="A3699" s="462"/>
      <c r="B3699" s="462"/>
      <c r="C3699" s="21"/>
      <c r="D3699" s="462"/>
    </row>
    <row r="3700" spans="1:4" x14ac:dyDescent="0.2">
      <c r="A3700" s="462"/>
      <c r="B3700" s="462"/>
      <c r="C3700" s="21"/>
      <c r="D3700" s="462"/>
    </row>
    <row r="3701" spans="1:4" x14ac:dyDescent="0.2">
      <c r="A3701" s="462"/>
      <c r="B3701" s="462"/>
      <c r="C3701" s="21"/>
      <c r="D3701" s="462"/>
    </row>
    <row r="3702" spans="1:4" x14ac:dyDescent="0.2">
      <c r="A3702" s="462"/>
      <c r="B3702" s="462"/>
      <c r="C3702" s="21"/>
      <c r="D3702" s="462"/>
    </row>
    <row r="3703" spans="1:4" x14ac:dyDescent="0.2">
      <c r="A3703" s="462"/>
      <c r="B3703" s="462"/>
      <c r="C3703" s="21"/>
      <c r="D3703" s="462"/>
    </row>
    <row r="3704" spans="1:4" x14ac:dyDescent="0.2">
      <c r="A3704" s="462"/>
      <c r="B3704" s="462"/>
      <c r="C3704" s="21"/>
      <c r="D3704" s="462"/>
    </row>
    <row r="3705" spans="1:4" x14ac:dyDescent="0.2">
      <c r="A3705" s="462"/>
      <c r="B3705" s="462"/>
      <c r="C3705" s="21"/>
      <c r="D3705" s="462"/>
    </row>
    <row r="3706" spans="1:4" x14ac:dyDescent="0.2">
      <c r="A3706" s="462"/>
      <c r="B3706" s="462"/>
      <c r="C3706" s="21"/>
      <c r="D3706" s="462"/>
    </row>
    <row r="3707" spans="1:4" x14ac:dyDescent="0.2">
      <c r="A3707" s="462"/>
      <c r="B3707" s="462"/>
      <c r="C3707" s="21"/>
      <c r="D3707" s="462"/>
    </row>
    <row r="3708" spans="1:4" x14ac:dyDescent="0.2">
      <c r="A3708" s="462"/>
      <c r="B3708" s="462"/>
      <c r="C3708" s="21"/>
      <c r="D3708" s="462"/>
    </row>
    <row r="3709" spans="1:4" x14ac:dyDescent="0.2">
      <c r="A3709" s="462"/>
      <c r="B3709" s="462"/>
      <c r="C3709" s="21"/>
      <c r="D3709" s="462"/>
    </row>
    <row r="3710" spans="1:4" x14ac:dyDescent="0.2">
      <c r="A3710" s="462"/>
      <c r="B3710" s="462"/>
      <c r="C3710" s="21"/>
      <c r="D3710" s="462"/>
    </row>
    <row r="3711" spans="1:4" x14ac:dyDescent="0.2">
      <c r="A3711" s="462"/>
      <c r="B3711" s="462"/>
      <c r="C3711" s="21"/>
      <c r="D3711" s="462"/>
    </row>
    <row r="3712" spans="1:4" x14ac:dyDescent="0.2">
      <c r="A3712" s="462"/>
      <c r="B3712" s="462"/>
      <c r="C3712" s="21"/>
      <c r="D3712" s="462"/>
    </row>
    <row r="3713" spans="1:4" x14ac:dyDescent="0.2">
      <c r="A3713" s="462"/>
      <c r="B3713" s="462"/>
      <c r="C3713" s="21"/>
      <c r="D3713" s="462"/>
    </row>
    <row r="3714" spans="1:4" x14ac:dyDescent="0.2">
      <c r="A3714" s="462"/>
      <c r="B3714" s="462"/>
      <c r="C3714" s="21"/>
      <c r="D3714" s="462"/>
    </row>
    <row r="3715" spans="1:4" x14ac:dyDescent="0.2">
      <c r="A3715" s="462"/>
      <c r="B3715" s="462"/>
      <c r="C3715" s="21"/>
      <c r="D3715" s="462"/>
    </row>
    <row r="3716" spans="1:4" x14ac:dyDescent="0.2">
      <c r="A3716" s="462"/>
      <c r="B3716" s="462"/>
      <c r="C3716" s="21"/>
      <c r="D3716" s="462"/>
    </row>
    <row r="3717" spans="1:4" x14ac:dyDescent="0.2">
      <c r="A3717" s="462"/>
      <c r="B3717" s="462"/>
      <c r="C3717" s="21"/>
      <c r="D3717" s="462"/>
    </row>
    <row r="3718" spans="1:4" x14ac:dyDescent="0.2">
      <c r="A3718" s="462"/>
      <c r="B3718" s="462"/>
      <c r="C3718" s="21"/>
      <c r="D3718" s="462"/>
    </row>
    <row r="3719" spans="1:4" x14ac:dyDescent="0.2">
      <c r="A3719" s="462"/>
      <c r="B3719" s="462"/>
      <c r="C3719" s="21"/>
      <c r="D3719" s="462"/>
    </row>
    <row r="3720" spans="1:4" x14ac:dyDescent="0.2">
      <c r="A3720" s="462"/>
      <c r="B3720" s="462"/>
      <c r="C3720" s="21"/>
      <c r="D3720" s="462"/>
    </row>
    <row r="3721" spans="1:4" x14ac:dyDescent="0.2">
      <c r="A3721" s="462"/>
      <c r="B3721" s="462"/>
      <c r="C3721" s="21"/>
      <c r="D3721" s="462"/>
    </row>
    <row r="3722" spans="1:4" x14ac:dyDescent="0.2">
      <c r="A3722" s="462"/>
      <c r="B3722" s="462"/>
      <c r="C3722" s="21"/>
      <c r="D3722" s="462"/>
    </row>
    <row r="3723" spans="1:4" x14ac:dyDescent="0.2">
      <c r="A3723" s="462"/>
      <c r="B3723" s="462"/>
      <c r="C3723" s="21"/>
      <c r="D3723" s="462"/>
    </row>
    <row r="3724" spans="1:4" x14ac:dyDescent="0.2">
      <c r="A3724" s="462"/>
      <c r="B3724" s="462"/>
      <c r="C3724" s="21"/>
      <c r="D3724" s="462"/>
    </row>
    <row r="3725" spans="1:4" x14ac:dyDescent="0.2">
      <c r="A3725" s="462"/>
      <c r="B3725" s="462"/>
      <c r="C3725" s="21"/>
      <c r="D3725" s="462"/>
    </row>
    <row r="3726" spans="1:4" x14ac:dyDescent="0.2">
      <c r="A3726" s="462"/>
      <c r="B3726" s="462"/>
      <c r="C3726" s="21"/>
      <c r="D3726" s="462"/>
    </row>
    <row r="3727" spans="1:4" x14ac:dyDescent="0.2">
      <c r="A3727" s="462"/>
      <c r="B3727" s="462"/>
      <c r="C3727" s="21"/>
      <c r="D3727" s="462"/>
    </row>
    <row r="3728" spans="1:4" x14ac:dyDescent="0.2">
      <c r="A3728" s="462"/>
      <c r="B3728" s="462"/>
      <c r="C3728" s="21"/>
      <c r="D3728" s="462"/>
    </row>
    <row r="3729" spans="1:4" x14ac:dyDescent="0.2">
      <c r="A3729" s="462"/>
      <c r="B3729" s="462"/>
      <c r="C3729" s="21"/>
      <c r="D3729" s="462"/>
    </row>
    <row r="3730" spans="1:4" x14ac:dyDescent="0.2">
      <c r="A3730" s="462"/>
      <c r="B3730" s="462"/>
      <c r="C3730" s="21"/>
      <c r="D3730" s="462"/>
    </row>
    <row r="3731" spans="1:4" x14ac:dyDescent="0.2">
      <c r="A3731" s="462"/>
      <c r="B3731" s="462"/>
      <c r="C3731" s="21"/>
      <c r="D3731" s="462"/>
    </row>
    <row r="3732" spans="1:4" x14ac:dyDescent="0.2">
      <c r="A3732" s="462"/>
      <c r="B3732" s="462"/>
      <c r="C3732" s="21"/>
      <c r="D3732" s="462"/>
    </row>
    <row r="3733" spans="1:4" x14ac:dyDescent="0.2">
      <c r="A3733" s="462"/>
      <c r="B3733" s="462"/>
      <c r="C3733" s="21"/>
      <c r="D3733" s="462"/>
    </row>
    <row r="3734" spans="1:4" x14ac:dyDescent="0.2">
      <c r="A3734" s="462"/>
      <c r="B3734" s="462"/>
      <c r="C3734" s="21"/>
      <c r="D3734" s="462"/>
    </row>
    <row r="3735" spans="1:4" x14ac:dyDescent="0.2">
      <c r="A3735" s="462"/>
      <c r="B3735" s="462"/>
      <c r="C3735" s="21"/>
      <c r="D3735" s="462"/>
    </row>
    <row r="3736" spans="1:4" x14ac:dyDescent="0.2">
      <c r="A3736" s="462"/>
      <c r="B3736" s="462"/>
      <c r="C3736" s="21"/>
      <c r="D3736" s="462"/>
    </row>
    <row r="3737" spans="1:4" x14ac:dyDescent="0.2">
      <c r="A3737" s="462"/>
      <c r="B3737" s="462"/>
      <c r="C3737" s="21"/>
      <c r="D3737" s="462"/>
    </row>
    <row r="3738" spans="1:4" x14ac:dyDescent="0.2">
      <c r="A3738" s="462"/>
      <c r="B3738" s="462"/>
      <c r="C3738" s="21"/>
      <c r="D3738" s="462"/>
    </row>
    <row r="3739" spans="1:4" x14ac:dyDescent="0.2">
      <c r="A3739" s="462"/>
      <c r="B3739" s="462"/>
      <c r="C3739" s="21"/>
      <c r="D3739" s="462"/>
    </row>
    <row r="3740" spans="1:4" x14ac:dyDescent="0.2">
      <c r="A3740" s="462"/>
      <c r="B3740" s="462"/>
      <c r="C3740" s="21"/>
      <c r="D3740" s="462"/>
    </row>
    <row r="3741" spans="1:4" x14ac:dyDescent="0.2">
      <c r="A3741" s="462"/>
      <c r="B3741" s="462"/>
      <c r="C3741" s="21"/>
      <c r="D3741" s="462"/>
    </row>
    <row r="3742" spans="1:4" x14ac:dyDescent="0.2">
      <c r="A3742" s="462"/>
      <c r="B3742" s="462"/>
      <c r="C3742" s="21"/>
      <c r="D3742" s="462"/>
    </row>
    <row r="3743" spans="1:4" x14ac:dyDescent="0.2">
      <c r="A3743" s="462"/>
      <c r="B3743" s="462"/>
      <c r="C3743" s="21"/>
      <c r="D3743" s="462"/>
    </row>
    <row r="3744" spans="1:4" x14ac:dyDescent="0.2">
      <c r="A3744" s="462"/>
      <c r="B3744" s="462"/>
      <c r="C3744" s="21"/>
      <c r="D3744" s="462"/>
    </row>
    <row r="3745" spans="1:4" x14ac:dyDescent="0.2">
      <c r="A3745" s="462"/>
      <c r="B3745" s="462"/>
      <c r="C3745" s="21"/>
      <c r="D3745" s="462"/>
    </row>
    <row r="3746" spans="1:4" x14ac:dyDescent="0.2">
      <c r="A3746" s="462"/>
      <c r="B3746" s="462"/>
      <c r="C3746" s="21"/>
      <c r="D3746" s="462"/>
    </row>
    <row r="3747" spans="1:4" x14ac:dyDescent="0.2">
      <c r="A3747" s="462"/>
      <c r="B3747" s="462"/>
      <c r="C3747" s="21"/>
      <c r="D3747" s="462"/>
    </row>
    <row r="3748" spans="1:4" x14ac:dyDescent="0.2">
      <c r="A3748" s="462"/>
      <c r="B3748" s="462"/>
      <c r="C3748" s="21"/>
      <c r="D3748" s="462"/>
    </row>
    <row r="3749" spans="1:4" x14ac:dyDescent="0.2">
      <c r="A3749" s="462"/>
      <c r="B3749" s="462"/>
      <c r="C3749" s="21"/>
      <c r="D3749" s="462"/>
    </row>
    <row r="3750" spans="1:4" x14ac:dyDescent="0.2">
      <c r="A3750" s="462"/>
      <c r="B3750" s="462"/>
      <c r="C3750" s="21"/>
      <c r="D3750" s="462"/>
    </row>
    <row r="3751" spans="1:4" x14ac:dyDescent="0.2">
      <c r="A3751" s="462"/>
      <c r="B3751" s="462"/>
      <c r="C3751" s="21"/>
      <c r="D3751" s="462"/>
    </row>
    <row r="3752" spans="1:4" x14ac:dyDescent="0.2">
      <c r="A3752" s="462"/>
      <c r="B3752" s="462"/>
      <c r="C3752" s="21"/>
      <c r="D3752" s="462"/>
    </row>
    <row r="3753" spans="1:4" x14ac:dyDescent="0.2">
      <c r="A3753" s="462"/>
      <c r="B3753" s="462"/>
      <c r="C3753" s="21"/>
      <c r="D3753" s="462"/>
    </row>
    <row r="3754" spans="1:4" x14ac:dyDescent="0.2">
      <c r="A3754" s="462"/>
      <c r="B3754" s="462"/>
      <c r="C3754" s="21"/>
      <c r="D3754" s="462"/>
    </row>
    <row r="3755" spans="1:4" x14ac:dyDescent="0.2">
      <c r="A3755" s="462"/>
      <c r="B3755" s="462"/>
      <c r="C3755" s="21"/>
      <c r="D3755" s="462"/>
    </row>
    <row r="3756" spans="1:4" x14ac:dyDescent="0.2">
      <c r="A3756" s="462"/>
      <c r="B3756" s="462"/>
      <c r="C3756" s="21"/>
      <c r="D3756" s="462"/>
    </row>
    <row r="3757" spans="1:4" x14ac:dyDescent="0.2">
      <c r="A3757" s="462"/>
      <c r="B3757" s="462"/>
      <c r="C3757" s="21"/>
      <c r="D3757" s="462"/>
    </row>
    <row r="3758" spans="1:4" x14ac:dyDescent="0.2">
      <c r="A3758" s="462"/>
      <c r="B3758" s="462"/>
      <c r="C3758" s="21"/>
      <c r="D3758" s="462"/>
    </row>
    <row r="3759" spans="1:4" x14ac:dyDescent="0.2">
      <c r="A3759" s="462"/>
      <c r="B3759" s="462"/>
      <c r="C3759" s="21"/>
      <c r="D3759" s="462"/>
    </row>
    <row r="3760" spans="1:4" x14ac:dyDescent="0.2">
      <c r="A3760" s="462"/>
      <c r="B3760" s="462"/>
      <c r="C3760" s="21"/>
      <c r="D3760" s="462"/>
    </row>
    <row r="3761" spans="1:4" x14ac:dyDescent="0.2">
      <c r="A3761" s="462"/>
      <c r="B3761" s="462"/>
      <c r="C3761" s="21"/>
      <c r="D3761" s="462"/>
    </row>
    <row r="3762" spans="1:4" x14ac:dyDescent="0.2">
      <c r="A3762" s="462"/>
      <c r="B3762" s="462"/>
      <c r="C3762" s="21"/>
      <c r="D3762" s="462"/>
    </row>
    <row r="3763" spans="1:4" x14ac:dyDescent="0.2">
      <c r="A3763" s="462"/>
      <c r="B3763" s="462"/>
      <c r="C3763" s="21"/>
      <c r="D3763" s="462"/>
    </row>
    <row r="3764" spans="1:4" x14ac:dyDescent="0.2">
      <c r="A3764" s="462"/>
      <c r="B3764" s="462"/>
      <c r="C3764" s="21"/>
      <c r="D3764" s="462"/>
    </row>
    <row r="3765" spans="1:4" x14ac:dyDescent="0.2">
      <c r="A3765" s="462"/>
      <c r="B3765" s="462"/>
      <c r="C3765" s="21"/>
      <c r="D3765" s="462"/>
    </row>
    <row r="3766" spans="1:4" x14ac:dyDescent="0.2">
      <c r="A3766" s="462"/>
      <c r="B3766" s="462"/>
      <c r="C3766" s="21"/>
      <c r="D3766" s="462"/>
    </row>
    <row r="3767" spans="1:4" x14ac:dyDescent="0.2">
      <c r="A3767" s="462"/>
      <c r="B3767" s="462"/>
      <c r="C3767" s="21"/>
      <c r="D3767" s="462"/>
    </row>
    <row r="3768" spans="1:4" x14ac:dyDescent="0.2">
      <c r="A3768" s="462"/>
      <c r="B3768" s="462"/>
      <c r="C3768" s="21"/>
      <c r="D3768" s="462"/>
    </row>
    <row r="3769" spans="1:4" x14ac:dyDescent="0.2">
      <c r="A3769" s="462"/>
      <c r="B3769" s="462"/>
      <c r="C3769" s="21"/>
      <c r="D3769" s="462"/>
    </row>
    <row r="3770" spans="1:4" x14ac:dyDescent="0.2">
      <c r="A3770" s="462"/>
      <c r="B3770" s="462"/>
      <c r="C3770" s="21"/>
      <c r="D3770" s="462"/>
    </row>
    <row r="3771" spans="1:4" x14ac:dyDescent="0.2">
      <c r="A3771" s="462"/>
      <c r="B3771" s="462"/>
      <c r="C3771" s="21"/>
      <c r="D3771" s="462"/>
    </row>
    <row r="3772" spans="1:4" x14ac:dyDescent="0.2">
      <c r="A3772" s="462"/>
      <c r="B3772" s="462"/>
      <c r="C3772" s="21"/>
      <c r="D3772" s="462"/>
    </row>
    <row r="3773" spans="1:4" x14ac:dyDescent="0.2">
      <c r="A3773" s="462"/>
      <c r="B3773" s="462"/>
      <c r="C3773" s="21"/>
      <c r="D3773" s="462"/>
    </row>
    <row r="3774" spans="1:4" x14ac:dyDescent="0.2">
      <c r="A3774" s="462"/>
      <c r="B3774" s="462"/>
      <c r="C3774" s="21"/>
      <c r="D3774" s="462"/>
    </row>
    <row r="3775" spans="1:4" x14ac:dyDescent="0.2">
      <c r="A3775" s="462"/>
      <c r="B3775" s="462"/>
      <c r="C3775" s="21"/>
      <c r="D3775" s="462"/>
    </row>
    <row r="3776" spans="1:4" x14ac:dyDescent="0.2">
      <c r="A3776" s="462"/>
      <c r="B3776" s="462"/>
      <c r="C3776" s="21"/>
      <c r="D3776" s="462"/>
    </row>
    <row r="3777" spans="1:4" x14ac:dyDescent="0.2">
      <c r="A3777" s="462"/>
      <c r="B3777" s="462"/>
      <c r="C3777" s="21"/>
      <c r="D3777" s="462"/>
    </row>
    <row r="3778" spans="1:4" x14ac:dyDescent="0.2">
      <c r="A3778" s="462"/>
      <c r="B3778" s="462"/>
      <c r="C3778" s="21"/>
      <c r="D3778" s="462"/>
    </row>
    <row r="3779" spans="1:4" x14ac:dyDescent="0.2">
      <c r="A3779" s="462"/>
      <c r="B3779" s="462"/>
      <c r="C3779" s="21"/>
      <c r="D3779" s="462"/>
    </row>
    <row r="3780" spans="1:4" x14ac:dyDescent="0.2">
      <c r="A3780" s="462"/>
      <c r="B3780" s="462"/>
      <c r="C3780" s="21"/>
      <c r="D3780" s="462"/>
    </row>
    <row r="3781" spans="1:4" x14ac:dyDescent="0.2">
      <c r="A3781" s="462"/>
      <c r="B3781" s="462"/>
      <c r="C3781" s="21"/>
      <c r="D3781" s="462"/>
    </row>
    <row r="3782" spans="1:4" x14ac:dyDescent="0.2">
      <c r="A3782" s="462"/>
      <c r="B3782" s="462"/>
      <c r="C3782" s="21"/>
      <c r="D3782" s="462"/>
    </row>
    <row r="3783" spans="1:4" x14ac:dyDescent="0.2">
      <c r="A3783" s="462"/>
      <c r="B3783" s="462"/>
      <c r="C3783" s="21"/>
      <c r="D3783" s="462"/>
    </row>
    <row r="3784" spans="1:4" x14ac:dyDescent="0.2">
      <c r="A3784" s="462"/>
      <c r="B3784" s="462"/>
      <c r="C3784" s="21"/>
      <c r="D3784" s="462"/>
    </row>
    <row r="3785" spans="1:4" x14ac:dyDescent="0.2">
      <c r="A3785" s="462"/>
      <c r="B3785" s="462"/>
      <c r="C3785" s="21"/>
      <c r="D3785" s="462"/>
    </row>
    <row r="3786" spans="1:4" x14ac:dyDescent="0.2">
      <c r="A3786" s="462"/>
      <c r="B3786" s="462"/>
      <c r="C3786" s="21"/>
      <c r="D3786" s="462"/>
    </row>
    <row r="3787" spans="1:4" x14ac:dyDescent="0.2">
      <c r="A3787" s="462"/>
      <c r="B3787" s="462"/>
      <c r="C3787" s="21"/>
      <c r="D3787" s="462"/>
    </row>
    <row r="3788" spans="1:4" x14ac:dyDescent="0.2">
      <c r="A3788" s="462"/>
      <c r="B3788" s="462"/>
      <c r="C3788" s="21"/>
      <c r="D3788" s="462"/>
    </row>
    <row r="3789" spans="1:4" x14ac:dyDescent="0.2">
      <c r="A3789" s="462"/>
      <c r="B3789" s="462"/>
      <c r="C3789" s="21"/>
      <c r="D3789" s="462"/>
    </row>
    <row r="3790" spans="1:4" x14ac:dyDescent="0.2">
      <c r="A3790" s="462"/>
      <c r="B3790" s="462"/>
      <c r="C3790" s="21"/>
      <c r="D3790" s="462"/>
    </row>
    <row r="3791" spans="1:4" x14ac:dyDescent="0.2">
      <c r="A3791" s="462"/>
      <c r="B3791" s="462"/>
      <c r="C3791" s="21"/>
      <c r="D3791" s="462"/>
    </row>
    <row r="3792" spans="1:4" x14ac:dyDescent="0.2">
      <c r="A3792" s="462"/>
      <c r="B3792" s="462"/>
      <c r="C3792" s="21"/>
      <c r="D3792" s="462"/>
    </row>
    <row r="3793" spans="1:4" x14ac:dyDescent="0.2">
      <c r="A3793" s="462"/>
      <c r="B3793" s="462"/>
      <c r="C3793" s="21"/>
      <c r="D3793" s="462"/>
    </row>
    <row r="3794" spans="1:4" x14ac:dyDescent="0.2">
      <c r="A3794" s="462"/>
      <c r="B3794" s="462"/>
      <c r="C3794" s="21"/>
      <c r="D3794" s="462"/>
    </row>
    <row r="3795" spans="1:4" x14ac:dyDescent="0.2">
      <c r="A3795" s="462"/>
      <c r="B3795" s="462"/>
      <c r="C3795" s="21"/>
      <c r="D3795" s="462"/>
    </row>
    <row r="3796" spans="1:4" x14ac:dyDescent="0.2">
      <c r="A3796" s="462"/>
      <c r="B3796" s="462"/>
      <c r="C3796" s="21"/>
      <c r="D3796" s="462"/>
    </row>
    <row r="3797" spans="1:4" x14ac:dyDescent="0.2">
      <c r="A3797" s="462"/>
      <c r="B3797" s="462"/>
      <c r="C3797" s="21"/>
      <c r="D3797" s="462"/>
    </row>
    <row r="3798" spans="1:4" x14ac:dyDescent="0.2">
      <c r="A3798" s="462"/>
      <c r="B3798" s="462"/>
      <c r="C3798" s="21"/>
      <c r="D3798" s="462"/>
    </row>
    <row r="3799" spans="1:4" x14ac:dyDescent="0.2">
      <c r="A3799" s="462"/>
      <c r="B3799" s="462"/>
      <c r="C3799" s="21"/>
      <c r="D3799" s="462"/>
    </row>
    <row r="3800" spans="1:4" x14ac:dyDescent="0.2">
      <c r="A3800" s="462"/>
      <c r="B3800" s="462"/>
      <c r="C3800" s="21"/>
      <c r="D3800" s="462"/>
    </row>
    <row r="3801" spans="1:4" x14ac:dyDescent="0.2">
      <c r="A3801" s="462"/>
      <c r="B3801" s="462"/>
      <c r="C3801" s="21"/>
      <c r="D3801" s="462"/>
    </row>
    <row r="3802" spans="1:4" x14ac:dyDescent="0.2">
      <c r="A3802" s="462"/>
      <c r="B3802" s="462"/>
      <c r="C3802" s="21"/>
      <c r="D3802" s="462"/>
    </row>
    <row r="3803" spans="1:4" x14ac:dyDescent="0.2">
      <c r="A3803" s="462"/>
      <c r="B3803" s="462"/>
      <c r="C3803" s="21"/>
      <c r="D3803" s="462"/>
    </row>
    <row r="3804" spans="1:4" x14ac:dyDescent="0.2">
      <c r="A3804" s="462"/>
      <c r="B3804" s="462"/>
      <c r="C3804" s="21"/>
      <c r="D3804" s="462"/>
    </row>
    <row r="3805" spans="1:4" x14ac:dyDescent="0.2">
      <c r="A3805" s="462"/>
      <c r="B3805" s="462"/>
      <c r="C3805" s="21"/>
      <c r="D3805" s="462"/>
    </row>
    <row r="3806" spans="1:4" x14ac:dyDescent="0.2">
      <c r="A3806" s="462"/>
      <c r="B3806" s="462"/>
      <c r="C3806" s="21"/>
      <c r="D3806" s="462"/>
    </row>
    <row r="3807" spans="1:4" x14ac:dyDescent="0.2">
      <c r="A3807" s="462"/>
      <c r="B3807" s="462"/>
      <c r="C3807" s="21"/>
      <c r="D3807" s="462"/>
    </row>
    <row r="3808" spans="1:4" x14ac:dyDescent="0.2">
      <c r="A3808" s="462"/>
      <c r="B3808" s="462"/>
      <c r="C3808" s="21"/>
      <c r="D3808" s="462"/>
    </row>
    <row r="3809" spans="1:4" x14ac:dyDescent="0.2">
      <c r="A3809" s="462"/>
      <c r="B3809" s="462"/>
      <c r="C3809" s="21"/>
      <c r="D3809" s="462"/>
    </row>
    <row r="3810" spans="1:4" x14ac:dyDescent="0.2">
      <c r="A3810" s="462"/>
      <c r="B3810" s="462"/>
      <c r="C3810" s="21"/>
      <c r="D3810" s="462"/>
    </row>
    <row r="3811" spans="1:4" x14ac:dyDescent="0.2">
      <c r="A3811" s="462"/>
      <c r="B3811" s="462"/>
      <c r="C3811" s="21"/>
      <c r="D3811" s="462"/>
    </row>
    <row r="3812" spans="1:4" x14ac:dyDescent="0.2">
      <c r="A3812" s="462"/>
      <c r="B3812" s="462"/>
      <c r="C3812" s="21"/>
      <c r="D3812" s="462"/>
    </row>
    <row r="3813" spans="1:4" x14ac:dyDescent="0.2">
      <c r="A3813" s="462"/>
      <c r="B3813" s="462"/>
      <c r="C3813" s="21"/>
      <c r="D3813" s="462"/>
    </row>
    <row r="3814" spans="1:4" x14ac:dyDescent="0.2">
      <c r="A3814" s="462"/>
      <c r="B3814" s="462"/>
      <c r="C3814" s="21"/>
      <c r="D3814" s="462"/>
    </row>
    <row r="3815" spans="1:4" x14ac:dyDescent="0.2">
      <c r="A3815" s="462"/>
      <c r="B3815" s="462"/>
      <c r="C3815" s="21"/>
      <c r="D3815" s="462"/>
    </row>
    <row r="3816" spans="1:4" x14ac:dyDescent="0.2">
      <c r="A3816" s="462"/>
      <c r="B3816" s="462"/>
      <c r="C3816" s="21"/>
      <c r="D3816" s="462"/>
    </row>
    <row r="3817" spans="1:4" x14ac:dyDescent="0.2">
      <c r="A3817" s="462"/>
      <c r="B3817" s="462"/>
      <c r="C3817" s="21"/>
      <c r="D3817" s="462"/>
    </row>
    <row r="3818" spans="1:4" x14ac:dyDescent="0.2">
      <c r="A3818" s="462"/>
      <c r="B3818" s="462"/>
      <c r="C3818" s="21"/>
      <c r="D3818" s="462"/>
    </row>
    <row r="3819" spans="1:4" x14ac:dyDescent="0.2">
      <c r="A3819" s="462"/>
      <c r="B3819" s="462"/>
      <c r="C3819" s="21"/>
      <c r="D3819" s="462"/>
    </row>
    <row r="3820" spans="1:4" x14ac:dyDescent="0.2">
      <c r="A3820" s="462"/>
      <c r="B3820" s="462"/>
      <c r="C3820" s="21"/>
      <c r="D3820" s="462"/>
    </row>
    <row r="3821" spans="1:4" x14ac:dyDescent="0.2">
      <c r="A3821" s="462"/>
      <c r="B3821" s="462"/>
      <c r="C3821" s="21"/>
      <c r="D3821" s="462"/>
    </row>
    <row r="3822" spans="1:4" x14ac:dyDescent="0.2">
      <c r="A3822" s="462"/>
      <c r="B3822" s="462"/>
      <c r="C3822" s="21"/>
      <c r="D3822" s="462"/>
    </row>
    <row r="3823" spans="1:4" x14ac:dyDescent="0.2">
      <c r="A3823" s="462"/>
      <c r="B3823" s="462"/>
      <c r="C3823" s="21"/>
      <c r="D3823" s="462"/>
    </row>
    <row r="3824" spans="1:4" x14ac:dyDescent="0.2">
      <c r="A3824" s="462"/>
      <c r="B3824" s="462"/>
      <c r="C3824" s="21"/>
      <c r="D3824" s="462"/>
    </row>
    <row r="3825" spans="1:4" x14ac:dyDescent="0.2">
      <c r="A3825" s="462"/>
      <c r="B3825" s="462"/>
      <c r="C3825" s="21"/>
      <c r="D3825" s="462"/>
    </row>
    <row r="3826" spans="1:4" x14ac:dyDescent="0.2">
      <c r="A3826" s="462"/>
      <c r="B3826" s="462"/>
      <c r="C3826" s="21"/>
      <c r="D3826" s="462"/>
    </row>
    <row r="3827" spans="1:4" x14ac:dyDescent="0.2">
      <c r="A3827" s="462"/>
      <c r="B3827" s="462"/>
      <c r="C3827" s="21"/>
      <c r="D3827" s="462"/>
    </row>
    <row r="3828" spans="1:4" x14ac:dyDescent="0.2">
      <c r="A3828" s="462"/>
      <c r="B3828" s="462"/>
      <c r="C3828" s="21"/>
      <c r="D3828" s="462"/>
    </row>
    <row r="3829" spans="1:4" x14ac:dyDescent="0.2">
      <c r="A3829" s="462"/>
      <c r="B3829" s="462"/>
      <c r="C3829" s="21"/>
      <c r="D3829" s="462"/>
    </row>
    <row r="3830" spans="1:4" x14ac:dyDescent="0.2">
      <c r="A3830" s="462"/>
      <c r="B3830" s="462"/>
      <c r="C3830" s="21"/>
      <c r="D3830" s="462"/>
    </row>
    <row r="3831" spans="1:4" x14ac:dyDescent="0.2">
      <c r="A3831" s="462"/>
      <c r="B3831" s="462"/>
      <c r="C3831" s="21"/>
      <c r="D3831" s="462"/>
    </row>
    <row r="3832" spans="1:4" x14ac:dyDescent="0.2">
      <c r="A3832" s="462"/>
      <c r="B3832" s="462"/>
      <c r="C3832" s="21"/>
      <c r="D3832" s="462"/>
    </row>
    <row r="3833" spans="1:4" x14ac:dyDescent="0.2">
      <c r="A3833" s="462"/>
      <c r="B3833" s="462"/>
      <c r="C3833" s="21"/>
      <c r="D3833" s="462"/>
    </row>
    <row r="3834" spans="1:4" x14ac:dyDescent="0.2">
      <c r="A3834" s="462"/>
      <c r="B3834" s="462"/>
      <c r="C3834" s="21"/>
      <c r="D3834" s="462"/>
    </row>
    <row r="3835" spans="1:4" x14ac:dyDescent="0.2">
      <c r="A3835" s="462"/>
      <c r="B3835" s="462"/>
      <c r="C3835" s="21"/>
      <c r="D3835" s="462"/>
    </row>
    <row r="3836" spans="1:4" x14ac:dyDescent="0.2">
      <c r="A3836" s="462"/>
      <c r="B3836" s="462"/>
      <c r="C3836" s="21"/>
      <c r="D3836" s="462"/>
    </row>
    <row r="3837" spans="1:4" x14ac:dyDescent="0.2">
      <c r="A3837" s="462"/>
      <c r="B3837" s="462"/>
      <c r="C3837" s="21"/>
      <c r="D3837" s="462"/>
    </row>
    <row r="3838" spans="1:4" x14ac:dyDescent="0.2">
      <c r="A3838" s="462"/>
      <c r="B3838" s="462"/>
      <c r="C3838" s="21"/>
      <c r="D3838" s="462"/>
    </row>
    <row r="3839" spans="1:4" x14ac:dyDescent="0.2">
      <c r="A3839" s="462"/>
      <c r="B3839" s="462"/>
      <c r="C3839" s="21"/>
      <c r="D3839" s="462"/>
    </row>
    <row r="3840" spans="1:4" x14ac:dyDescent="0.2">
      <c r="A3840" s="462"/>
      <c r="B3840" s="462"/>
      <c r="C3840" s="21"/>
      <c r="D3840" s="462"/>
    </row>
    <row r="3841" spans="1:4" x14ac:dyDescent="0.2">
      <c r="A3841" s="462"/>
      <c r="B3841" s="462"/>
      <c r="C3841" s="21"/>
      <c r="D3841" s="462"/>
    </row>
    <row r="3842" spans="1:4" x14ac:dyDescent="0.2">
      <c r="A3842" s="462"/>
      <c r="B3842" s="462"/>
      <c r="C3842" s="21"/>
      <c r="D3842" s="462"/>
    </row>
    <row r="3843" spans="1:4" x14ac:dyDescent="0.2">
      <c r="A3843" s="462"/>
      <c r="B3843" s="462"/>
      <c r="C3843" s="21"/>
      <c r="D3843" s="462"/>
    </row>
    <row r="3844" spans="1:4" x14ac:dyDescent="0.2">
      <c r="A3844" s="462"/>
      <c r="B3844" s="462"/>
      <c r="C3844" s="21"/>
      <c r="D3844" s="462"/>
    </row>
    <row r="3845" spans="1:4" x14ac:dyDescent="0.2">
      <c r="A3845" s="462"/>
      <c r="B3845" s="462"/>
      <c r="C3845" s="21"/>
      <c r="D3845" s="462"/>
    </row>
    <row r="3846" spans="1:4" x14ac:dyDescent="0.2">
      <c r="A3846" s="462"/>
      <c r="B3846" s="462"/>
      <c r="C3846" s="21"/>
      <c r="D3846" s="462"/>
    </row>
    <row r="3847" spans="1:4" x14ac:dyDescent="0.2">
      <c r="A3847" s="462"/>
      <c r="B3847" s="462"/>
      <c r="C3847" s="21"/>
      <c r="D3847" s="462"/>
    </row>
    <row r="3848" spans="1:4" x14ac:dyDescent="0.2">
      <c r="A3848" s="462"/>
      <c r="B3848" s="462"/>
      <c r="C3848" s="21"/>
      <c r="D3848" s="462"/>
    </row>
    <row r="3849" spans="1:4" x14ac:dyDescent="0.2">
      <c r="A3849" s="462"/>
      <c r="B3849" s="462"/>
      <c r="C3849" s="21"/>
      <c r="D3849" s="462"/>
    </row>
    <row r="3850" spans="1:4" x14ac:dyDescent="0.2">
      <c r="A3850" s="462"/>
      <c r="B3850" s="462"/>
      <c r="C3850" s="21"/>
      <c r="D3850" s="462"/>
    </row>
    <row r="3851" spans="1:4" x14ac:dyDescent="0.2">
      <c r="A3851" s="462"/>
      <c r="B3851" s="462"/>
      <c r="C3851" s="21"/>
      <c r="D3851" s="462"/>
    </row>
    <row r="3852" spans="1:4" x14ac:dyDescent="0.2">
      <c r="A3852" s="462"/>
      <c r="B3852" s="462"/>
      <c r="C3852" s="21"/>
      <c r="D3852" s="462"/>
    </row>
    <row r="3853" spans="1:4" x14ac:dyDescent="0.2">
      <c r="A3853" s="462"/>
      <c r="B3853" s="462"/>
      <c r="C3853" s="21"/>
      <c r="D3853" s="462"/>
    </row>
    <row r="3854" spans="1:4" x14ac:dyDescent="0.2">
      <c r="A3854" s="462"/>
      <c r="B3854" s="462"/>
      <c r="C3854" s="21"/>
      <c r="D3854" s="462"/>
    </row>
    <row r="3855" spans="1:4" x14ac:dyDescent="0.2">
      <c r="A3855" s="462"/>
      <c r="B3855" s="462"/>
      <c r="C3855" s="21"/>
      <c r="D3855" s="462"/>
    </row>
    <row r="3856" spans="1:4" x14ac:dyDescent="0.2">
      <c r="A3856" s="462"/>
      <c r="B3856" s="462"/>
      <c r="C3856" s="21"/>
      <c r="D3856" s="462"/>
    </row>
    <row r="3857" spans="1:4" x14ac:dyDescent="0.2">
      <c r="A3857" s="462"/>
      <c r="B3857" s="462"/>
      <c r="C3857" s="21"/>
      <c r="D3857" s="462"/>
    </row>
    <row r="3858" spans="1:4" x14ac:dyDescent="0.2">
      <c r="A3858" s="462"/>
      <c r="B3858" s="462"/>
      <c r="C3858" s="21"/>
      <c r="D3858" s="462"/>
    </row>
    <row r="3859" spans="1:4" x14ac:dyDescent="0.2">
      <c r="A3859" s="462"/>
      <c r="B3859" s="462"/>
      <c r="C3859" s="21"/>
      <c r="D3859" s="462"/>
    </row>
    <row r="3860" spans="1:4" x14ac:dyDescent="0.2">
      <c r="A3860" s="462"/>
      <c r="B3860" s="462"/>
      <c r="C3860" s="21"/>
      <c r="D3860" s="462"/>
    </row>
    <row r="3861" spans="1:4" x14ac:dyDescent="0.2">
      <c r="A3861" s="462"/>
      <c r="B3861" s="462"/>
      <c r="C3861" s="21"/>
      <c r="D3861" s="462"/>
    </row>
    <row r="3862" spans="1:4" x14ac:dyDescent="0.2">
      <c r="A3862" s="462"/>
      <c r="B3862" s="462"/>
      <c r="C3862" s="21"/>
      <c r="D3862" s="462"/>
    </row>
    <row r="3863" spans="1:4" x14ac:dyDescent="0.2">
      <c r="A3863" s="462"/>
      <c r="B3863" s="462"/>
      <c r="C3863" s="21"/>
      <c r="D3863" s="462"/>
    </row>
    <row r="3864" spans="1:4" x14ac:dyDescent="0.2">
      <c r="A3864" s="462"/>
      <c r="B3864" s="462"/>
      <c r="C3864" s="21"/>
      <c r="D3864" s="462"/>
    </row>
    <row r="3865" spans="1:4" x14ac:dyDescent="0.2">
      <c r="A3865" s="462"/>
      <c r="B3865" s="462"/>
      <c r="C3865" s="21"/>
      <c r="D3865" s="462"/>
    </row>
    <row r="3866" spans="1:4" x14ac:dyDescent="0.2">
      <c r="A3866" s="462"/>
      <c r="B3866" s="462"/>
      <c r="C3866" s="21"/>
      <c r="D3866" s="462"/>
    </row>
    <row r="3867" spans="1:4" x14ac:dyDescent="0.2">
      <c r="A3867" s="462"/>
      <c r="B3867" s="462"/>
      <c r="C3867" s="21"/>
      <c r="D3867" s="462"/>
    </row>
    <row r="3868" spans="1:4" x14ac:dyDescent="0.2">
      <c r="A3868" s="462"/>
      <c r="B3868" s="462"/>
      <c r="C3868" s="21"/>
      <c r="D3868" s="462"/>
    </row>
    <row r="3869" spans="1:4" x14ac:dyDescent="0.2">
      <c r="A3869" s="462"/>
      <c r="B3869" s="462"/>
      <c r="C3869" s="21"/>
      <c r="D3869" s="462"/>
    </row>
    <row r="3870" spans="1:4" x14ac:dyDescent="0.2">
      <c r="A3870" s="462"/>
      <c r="B3870" s="462"/>
      <c r="C3870" s="21"/>
      <c r="D3870" s="462"/>
    </row>
    <row r="3871" spans="1:4" x14ac:dyDescent="0.2">
      <c r="A3871" s="462"/>
      <c r="B3871" s="462"/>
      <c r="C3871" s="21"/>
      <c r="D3871" s="462"/>
    </row>
    <row r="3872" spans="1:4" x14ac:dyDescent="0.2">
      <c r="A3872" s="462"/>
      <c r="B3872" s="462"/>
      <c r="C3872" s="21"/>
      <c r="D3872" s="462"/>
    </row>
    <row r="3873" spans="1:4" x14ac:dyDescent="0.2">
      <c r="A3873" s="462"/>
      <c r="B3873" s="462"/>
      <c r="C3873" s="21"/>
      <c r="D3873" s="462"/>
    </row>
    <row r="3874" spans="1:4" x14ac:dyDescent="0.2">
      <c r="A3874" s="462"/>
      <c r="B3874" s="462"/>
      <c r="C3874" s="21"/>
      <c r="D3874" s="462"/>
    </row>
    <row r="3875" spans="1:4" x14ac:dyDescent="0.2">
      <c r="A3875" s="462"/>
      <c r="B3875" s="462"/>
      <c r="C3875" s="21"/>
      <c r="D3875" s="462"/>
    </row>
    <row r="3876" spans="1:4" x14ac:dyDescent="0.2">
      <c r="A3876" s="462"/>
      <c r="B3876" s="462"/>
      <c r="C3876" s="21"/>
      <c r="D3876" s="462"/>
    </row>
    <row r="3877" spans="1:4" x14ac:dyDescent="0.2">
      <c r="A3877" s="462"/>
      <c r="B3877" s="462"/>
      <c r="C3877" s="21"/>
      <c r="D3877" s="462"/>
    </row>
    <row r="3878" spans="1:4" x14ac:dyDescent="0.2">
      <c r="A3878" s="462"/>
      <c r="B3878" s="462"/>
      <c r="C3878" s="21"/>
      <c r="D3878" s="462"/>
    </row>
    <row r="3879" spans="1:4" x14ac:dyDescent="0.2">
      <c r="A3879" s="462"/>
      <c r="B3879" s="462"/>
      <c r="C3879" s="21"/>
      <c r="D3879" s="462"/>
    </row>
    <row r="3880" spans="1:4" x14ac:dyDescent="0.2">
      <c r="A3880" s="462"/>
      <c r="B3880" s="462"/>
      <c r="C3880" s="21"/>
      <c r="D3880" s="462"/>
    </row>
    <row r="3881" spans="1:4" x14ac:dyDescent="0.2">
      <c r="A3881" s="462"/>
      <c r="B3881" s="462"/>
      <c r="C3881" s="21"/>
      <c r="D3881" s="462"/>
    </row>
    <row r="3882" spans="1:4" x14ac:dyDescent="0.2">
      <c r="A3882" s="462"/>
      <c r="B3882" s="462"/>
      <c r="C3882" s="21"/>
      <c r="D3882" s="462"/>
    </row>
    <row r="3883" spans="1:4" x14ac:dyDescent="0.2">
      <c r="A3883" s="462"/>
      <c r="B3883" s="462"/>
      <c r="C3883" s="21"/>
      <c r="D3883" s="462"/>
    </row>
    <row r="3884" spans="1:4" x14ac:dyDescent="0.2">
      <c r="A3884" s="462"/>
      <c r="B3884" s="462"/>
      <c r="C3884" s="21"/>
      <c r="D3884" s="462"/>
    </row>
    <row r="3885" spans="1:4" x14ac:dyDescent="0.2">
      <c r="A3885" s="462"/>
      <c r="B3885" s="462"/>
      <c r="C3885" s="21"/>
      <c r="D3885" s="462"/>
    </row>
    <row r="3886" spans="1:4" x14ac:dyDescent="0.2">
      <c r="A3886" s="462"/>
      <c r="B3886" s="462"/>
      <c r="C3886" s="21"/>
      <c r="D3886" s="462"/>
    </row>
    <row r="3887" spans="1:4" x14ac:dyDescent="0.2">
      <c r="A3887" s="462"/>
      <c r="B3887" s="462"/>
      <c r="C3887" s="21"/>
      <c r="D3887" s="462"/>
    </row>
    <row r="3888" spans="1:4" x14ac:dyDescent="0.2">
      <c r="A3888" s="462"/>
      <c r="B3888" s="462"/>
      <c r="C3888" s="21"/>
      <c r="D3888" s="462"/>
    </row>
    <row r="3889" spans="1:4" x14ac:dyDescent="0.2">
      <c r="A3889" s="462"/>
      <c r="B3889" s="462"/>
      <c r="C3889" s="21"/>
      <c r="D3889" s="462"/>
    </row>
    <row r="3890" spans="1:4" x14ac:dyDescent="0.2">
      <c r="A3890" s="462"/>
      <c r="B3890" s="462"/>
      <c r="C3890" s="21"/>
      <c r="D3890" s="462"/>
    </row>
    <row r="3891" spans="1:4" x14ac:dyDescent="0.2">
      <c r="A3891" s="462"/>
      <c r="B3891" s="462"/>
      <c r="C3891" s="21"/>
      <c r="D3891" s="462"/>
    </row>
    <row r="3892" spans="1:4" x14ac:dyDescent="0.2">
      <c r="A3892" s="462"/>
      <c r="B3892" s="462"/>
      <c r="C3892" s="21"/>
      <c r="D3892" s="462"/>
    </row>
    <row r="3893" spans="1:4" x14ac:dyDescent="0.2">
      <c r="A3893" s="462"/>
      <c r="B3893" s="462"/>
      <c r="C3893" s="21"/>
      <c r="D3893" s="462"/>
    </row>
    <row r="3894" spans="1:4" x14ac:dyDescent="0.2">
      <c r="A3894" s="462"/>
      <c r="B3894" s="462"/>
      <c r="C3894" s="21"/>
      <c r="D3894" s="462"/>
    </row>
    <row r="3895" spans="1:4" x14ac:dyDescent="0.2">
      <c r="A3895" s="462"/>
      <c r="B3895" s="462"/>
      <c r="C3895" s="21"/>
      <c r="D3895" s="462"/>
    </row>
    <row r="3896" spans="1:4" x14ac:dyDescent="0.2">
      <c r="A3896" s="462"/>
      <c r="B3896" s="462"/>
      <c r="C3896" s="21"/>
      <c r="D3896" s="462"/>
    </row>
    <row r="3897" spans="1:4" x14ac:dyDescent="0.2">
      <c r="A3897" s="462"/>
      <c r="B3897" s="462"/>
      <c r="C3897" s="21"/>
      <c r="D3897" s="462"/>
    </row>
    <row r="3898" spans="1:4" x14ac:dyDescent="0.2">
      <c r="A3898" s="462"/>
      <c r="B3898" s="462"/>
      <c r="C3898" s="21"/>
      <c r="D3898" s="462"/>
    </row>
    <row r="3899" spans="1:4" x14ac:dyDescent="0.2">
      <c r="A3899" s="462"/>
      <c r="B3899" s="462"/>
      <c r="C3899" s="21"/>
      <c r="D3899" s="462"/>
    </row>
    <row r="3900" spans="1:4" x14ac:dyDescent="0.2">
      <c r="A3900" s="462"/>
      <c r="B3900" s="462"/>
      <c r="C3900" s="21"/>
      <c r="D3900" s="462"/>
    </row>
    <row r="3901" spans="1:4" x14ac:dyDescent="0.2">
      <c r="A3901" s="462"/>
      <c r="B3901" s="462"/>
      <c r="C3901" s="21"/>
      <c r="D3901" s="462"/>
    </row>
    <row r="3902" spans="1:4" x14ac:dyDescent="0.2">
      <c r="A3902" s="462"/>
      <c r="B3902" s="462"/>
      <c r="C3902" s="21"/>
      <c r="D3902" s="462"/>
    </row>
    <row r="3903" spans="1:4" x14ac:dyDescent="0.2">
      <c r="A3903" s="462"/>
      <c r="B3903" s="462"/>
      <c r="C3903" s="21"/>
      <c r="D3903" s="462"/>
    </row>
    <row r="3904" spans="1:4" x14ac:dyDescent="0.2">
      <c r="A3904" s="462"/>
      <c r="B3904" s="462"/>
      <c r="C3904" s="21"/>
      <c r="D3904" s="462"/>
    </row>
    <row r="3905" spans="1:4" x14ac:dyDescent="0.2">
      <c r="A3905" s="462"/>
      <c r="B3905" s="462"/>
      <c r="C3905" s="21"/>
      <c r="D3905" s="462"/>
    </row>
    <row r="3906" spans="1:4" x14ac:dyDescent="0.2">
      <c r="A3906" s="462"/>
      <c r="B3906" s="462"/>
      <c r="C3906" s="21"/>
      <c r="D3906" s="462"/>
    </row>
    <row r="3907" spans="1:4" x14ac:dyDescent="0.2">
      <c r="A3907" s="462"/>
      <c r="B3907" s="462"/>
      <c r="C3907" s="21"/>
      <c r="D3907" s="462"/>
    </row>
    <row r="3908" spans="1:4" x14ac:dyDescent="0.2">
      <c r="A3908" s="462"/>
      <c r="B3908" s="462"/>
      <c r="C3908" s="21"/>
      <c r="D3908" s="462"/>
    </row>
    <row r="3909" spans="1:4" x14ac:dyDescent="0.2">
      <c r="A3909" s="462"/>
      <c r="B3909" s="462"/>
      <c r="C3909" s="21"/>
      <c r="D3909" s="462"/>
    </row>
    <row r="3910" spans="1:4" x14ac:dyDescent="0.2">
      <c r="A3910" s="462"/>
      <c r="B3910" s="462"/>
      <c r="C3910" s="21"/>
      <c r="D3910" s="462"/>
    </row>
    <row r="3911" spans="1:4" x14ac:dyDescent="0.2">
      <c r="A3911" s="462"/>
      <c r="B3911" s="462"/>
      <c r="C3911" s="21"/>
      <c r="D3911" s="462"/>
    </row>
    <row r="3912" spans="1:4" x14ac:dyDescent="0.2">
      <c r="A3912" s="462"/>
      <c r="B3912" s="462"/>
      <c r="C3912" s="21"/>
      <c r="D3912" s="462"/>
    </row>
    <row r="3913" spans="1:4" x14ac:dyDescent="0.2">
      <c r="A3913" s="462"/>
      <c r="B3913" s="462"/>
      <c r="C3913" s="21"/>
      <c r="D3913" s="462"/>
    </row>
    <row r="3914" spans="1:4" x14ac:dyDescent="0.2">
      <c r="A3914" s="462"/>
      <c r="B3914" s="462"/>
      <c r="C3914" s="21"/>
      <c r="D3914" s="462"/>
    </row>
    <row r="3915" spans="1:4" x14ac:dyDescent="0.2">
      <c r="A3915" s="462"/>
      <c r="B3915" s="462"/>
      <c r="C3915" s="21"/>
      <c r="D3915" s="462"/>
    </row>
    <row r="3916" spans="1:4" x14ac:dyDescent="0.2">
      <c r="A3916" s="462"/>
      <c r="B3916" s="462"/>
      <c r="C3916" s="21"/>
      <c r="D3916" s="462"/>
    </row>
    <row r="3917" spans="1:4" x14ac:dyDescent="0.2">
      <c r="A3917" s="462"/>
      <c r="B3917" s="462"/>
      <c r="C3917" s="21"/>
      <c r="D3917" s="462"/>
    </row>
    <row r="3918" spans="1:4" x14ac:dyDescent="0.2">
      <c r="A3918" s="462"/>
      <c r="B3918" s="462"/>
      <c r="C3918" s="21"/>
      <c r="D3918" s="462"/>
    </row>
    <row r="3919" spans="1:4" x14ac:dyDescent="0.2">
      <c r="A3919" s="462"/>
      <c r="B3919" s="462"/>
      <c r="C3919" s="21"/>
      <c r="D3919" s="462"/>
    </row>
    <row r="3920" spans="1:4" x14ac:dyDescent="0.2">
      <c r="A3920" s="462"/>
      <c r="B3920" s="462"/>
      <c r="C3920" s="21"/>
      <c r="D3920" s="462"/>
    </row>
    <row r="3921" spans="1:4" x14ac:dyDescent="0.2">
      <c r="A3921" s="462"/>
      <c r="B3921" s="462"/>
      <c r="C3921" s="21"/>
      <c r="D3921" s="462"/>
    </row>
    <row r="3922" spans="1:4" x14ac:dyDescent="0.2">
      <c r="A3922" s="462"/>
      <c r="B3922" s="462"/>
      <c r="C3922" s="21"/>
      <c r="D3922" s="462"/>
    </row>
    <row r="3923" spans="1:4" x14ac:dyDescent="0.2">
      <c r="A3923" s="462"/>
      <c r="B3923" s="462"/>
      <c r="C3923" s="21"/>
      <c r="D3923" s="462"/>
    </row>
    <row r="3924" spans="1:4" x14ac:dyDescent="0.2">
      <c r="A3924" s="462"/>
      <c r="B3924" s="462"/>
      <c r="C3924" s="21"/>
      <c r="D3924" s="462"/>
    </row>
    <row r="3925" spans="1:4" x14ac:dyDescent="0.2">
      <c r="A3925" s="462"/>
      <c r="B3925" s="462"/>
      <c r="C3925" s="21"/>
      <c r="D3925" s="462"/>
    </row>
    <row r="3926" spans="1:4" x14ac:dyDescent="0.2">
      <c r="A3926" s="462"/>
      <c r="B3926" s="462"/>
      <c r="C3926" s="21"/>
      <c r="D3926" s="462"/>
    </row>
    <row r="3927" spans="1:4" x14ac:dyDescent="0.2">
      <c r="A3927" s="462"/>
      <c r="B3927" s="462"/>
      <c r="C3927" s="21"/>
      <c r="D3927" s="462"/>
    </row>
    <row r="3928" spans="1:4" x14ac:dyDescent="0.2">
      <c r="A3928" s="462"/>
      <c r="B3928" s="462"/>
      <c r="C3928" s="21"/>
      <c r="D3928" s="462"/>
    </row>
    <row r="3929" spans="1:4" x14ac:dyDescent="0.2">
      <c r="A3929" s="462"/>
      <c r="B3929" s="462"/>
      <c r="C3929" s="21"/>
      <c r="D3929" s="462"/>
    </row>
    <row r="3930" spans="1:4" x14ac:dyDescent="0.2">
      <c r="A3930" s="462"/>
      <c r="B3930" s="462"/>
      <c r="C3930" s="21"/>
      <c r="D3930" s="462"/>
    </row>
    <row r="3931" spans="1:4" x14ac:dyDescent="0.2">
      <c r="A3931" s="462"/>
      <c r="B3931" s="462"/>
      <c r="C3931" s="21"/>
      <c r="D3931" s="462"/>
    </row>
    <row r="3932" spans="1:4" x14ac:dyDescent="0.2">
      <c r="A3932" s="462"/>
      <c r="B3932" s="462"/>
      <c r="C3932" s="21"/>
      <c r="D3932" s="462"/>
    </row>
    <row r="3933" spans="1:4" x14ac:dyDescent="0.2">
      <c r="A3933" s="462"/>
      <c r="B3933" s="462"/>
      <c r="C3933" s="21"/>
      <c r="D3933" s="462"/>
    </row>
    <row r="3934" spans="1:4" x14ac:dyDescent="0.2">
      <c r="A3934" s="462"/>
      <c r="B3934" s="462"/>
      <c r="C3934" s="21"/>
      <c r="D3934" s="462"/>
    </row>
    <row r="3935" spans="1:4" x14ac:dyDescent="0.2">
      <c r="A3935" s="462"/>
      <c r="B3935" s="462"/>
      <c r="C3935" s="21"/>
      <c r="D3935" s="462"/>
    </row>
    <row r="3936" spans="1:4" x14ac:dyDescent="0.2">
      <c r="A3936" s="462"/>
      <c r="B3936" s="462"/>
      <c r="C3936" s="21"/>
      <c r="D3936" s="462"/>
    </row>
    <row r="3937" spans="1:4" x14ac:dyDescent="0.2">
      <c r="A3937" s="462"/>
      <c r="B3937" s="462"/>
      <c r="C3937" s="21"/>
      <c r="D3937" s="462"/>
    </row>
    <row r="3938" spans="1:4" x14ac:dyDescent="0.2">
      <c r="A3938" s="462"/>
      <c r="B3938" s="462"/>
      <c r="C3938" s="21"/>
      <c r="D3938" s="462"/>
    </row>
    <row r="3939" spans="1:4" x14ac:dyDescent="0.2">
      <c r="A3939" s="462"/>
      <c r="B3939" s="462"/>
      <c r="C3939" s="21"/>
      <c r="D3939" s="462"/>
    </row>
    <row r="3940" spans="1:4" x14ac:dyDescent="0.2">
      <c r="A3940" s="462"/>
      <c r="B3940" s="462"/>
      <c r="C3940" s="21"/>
      <c r="D3940" s="462"/>
    </row>
    <row r="3941" spans="1:4" x14ac:dyDescent="0.2">
      <c r="A3941" s="462"/>
      <c r="B3941" s="462"/>
      <c r="C3941" s="21"/>
      <c r="D3941" s="462"/>
    </row>
    <row r="3942" spans="1:4" x14ac:dyDescent="0.2">
      <c r="A3942" s="462"/>
      <c r="B3942" s="462"/>
      <c r="C3942" s="21"/>
      <c r="D3942" s="462"/>
    </row>
    <row r="3943" spans="1:4" x14ac:dyDescent="0.2">
      <c r="A3943" s="462"/>
      <c r="B3943" s="462"/>
      <c r="C3943" s="21"/>
      <c r="D3943" s="462"/>
    </row>
    <row r="3944" spans="1:4" x14ac:dyDescent="0.2">
      <c r="A3944" s="462"/>
      <c r="B3944" s="462"/>
      <c r="C3944" s="21"/>
      <c r="D3944" s="462"/>
    </row>
    <row r="3945" spans="1:4" x14ac:dyDescent="0.2">
      <c r="A3945" s="462"/>
      <c r="B3945" s="462"/>
      <c r="C3945" s="21"/>
      <c r="D3945" s="462"/>
    </row>
    <row r="3946" spans="1:4" x14ac:dyDescent="0.2">
      <c r="A3946" s="462"/>
      <c r="B3946" s="462"/>
      <c r="C3946" s="21"/>
      <c r="D3946" s="462"/>
    </row>
    <row r="3947" spans="1:4" x14ac:dyDescent="0.2">
      <c r="A3947" s="462"/>
      <c r="B3947" s="462"/>
      <c r="C3947" s="21"/>
      <c r="D3947" s="462"/>
    </row>
    <row r="3948" spans="1:4" x14ac:dyDescent="0.2">
      <c r="A3948" s="462"/>
      <c r="B3948" s="462"/>
      <c r="C3948" s="21"/>
      <c r="D3948" s="462"/>
    </row>
    <row r="3949" spans="1:4" x14ac:dyDescent="0.2">
      <c r="A3949" s="462"/>
      <c r="B3949" s="462"/>
      <c r="C3949" s="21"/>
      <c r="D3949" s="462"/>
    </row>
    <row r="3950" spans="1:4" x14ac:dyDescent="0.2">
      <c r="A3950" s="462"/>
      <c r="B3950" s="462"/>
      <c r="C3950" s="21"/>
      <c r="D3950" s="462"/>
    </row>
    <row r="3951" spans="1:4" x14ac:dyDescent="0.2">
      <c r="A3951" s="462"/>
      <c r="B3951" s="462"/>
      <c r="C3951" s="21"/>
      <c r="D3951" s="462"/>
    </row>
    <row r="3952" spans="1:4" x14ac:dyDescent="0.2">
      <c r="A3952" s="462"/>
      <c r="B3952" s="462"/>
      <c r="C3952" s="21"/>
      <c r="D3952" s="462"/>
    </row>
    <row r="3953" spans="1:4" x14ac:dyDescent="0.2">
      <c r="A3953" s="462"/>
      <c r="B3953" s="462"/>
      <c r="C3953" s="21"/>
      <c r="D3953" s="462"/>
    </row>
    <row r="3954" spans="1:4" x14ac:dyDescent="0.2">
      <c r="A3954" s="462"/>
      <c r="B3954" s="462"/>
      <c r="C3954" s="21"/>
      <c r="D3954" s="462"/>
    </row>
    <row r="3955" spans="1:4" x14ac:dyDescent="0.2">
      <c r="A3955" s="462"/>
      <c r="B3955" s="462"/>
      <c r="C3955" s="21"/>
      <c r="D3955" s="462"/>
    </row>
    <row r="3956" spans="1:4" x14ac:dyDescent="0.2">
      <c r="A3956" s="462"/>
      <c r="B3956" s="462"/>
      <c r="C3956" s="21"/>
      <c r="D3956" s="462"/>
    </row>
    <row r="3957" spans="1:4" x14ac:dyDescent="0.2">
      <c r="A3957" s="462"/>
      <c r="B3957" s="462"/>
      <c r="C3957" s="21"/>
      <c r="D3957" s="462"/>
    </row>
    <row r="3958" spans="1:4" x14ac:dyDescent="0.2">
      <c r="A3958" s="462"/>
      <c r="B3958" s="462"/>
      <c r="C3958" s="21"/>
      <c r="D3958" s="462"/>
    </row>
    <row r="3959" spans="1:4" x14ac:dyDescent="0.2">
      <c r="A3959" s="462"/>
      <c r="B3959" s="462"/>
      <c r="C3959" s="21"/>
      <c r="D3959" s="462"/>
    </row>
    <row r="3960" spans="1:4" x14ac:dyDescent="0.2">
      <c r="A3960" s="462"/>
      <c r="B3960" s="462"/>
      <c r="C3960" s="21"/>
      <c r="D3960" s="462"/>
    </row>
    <row r="3961" spans="1:4" x14ac:dyDescent="0.2">
      <c r="A3961" s="462"/>
      <c r="B3961" s="462"/>
      <c r="C3961" s="21"/>
      <c r="D3961" s="462"/>
    </row>
    <row r="3962" spans="1:4" x14ac:dyDescent="0.2">
      <c r="A3962" s="462"/>
      <c r="B3962" s="462"/>
      <c r="C3962" s="21"/>
      <c r="D3962" s="462"/>
    </row>
    <row r="3963" spans="1:4" x14ac:dyDescent="0.2">
      <c r="A3963" s="462"/>
      <c r="B3963" s="462"/>
      <c r="C3963" s="21"/>
      <c r="D3963" s="462"/>
    </row>
    <row r="3964" spans="1:4" x14ac:dyDescent="0.2">
      <c r="A3964" s="462"/>
      <c r="B3964" s="462"/>
      <c r="C3964" s="21"/>
      <c r="D3964" s="462"/>
    </row>
    <row r="3965" spans="1:4" x14ac:dyDescent="0.2">
      <c r="A3965" s="462"/>
      <c r="B3965" s="462"/>
      <c r="C3965" s="21"/>
      <c r="D3965" s="462"/>
    </row>
    <row r="3966" spans="1:4" x14ac:dyDescent="0.2">
      <c r="A3966" s="462"/>
      <c r="B3966" s="462"/>
      <c r="C3966" s="21"/>
      <c r="D3966" s="462"/>
    </row>
    <row r="3967" spans="1:4" x14ac:dyDescent="0.2">
      <c r="A3967" s="462"/>
      <c r="B3967" s="462"/>
      <c r="C3967" s="21"/>
      <c r="D3967" s="462"/>
    </row>
    <row r="3968" spans="1:4" x14ac:dyDescent="0.2">
      <c r="A3968" s="462"/>
      <c r="B3968" s="462"/>
      <c r="C3968" s="21"/>
      <c r="D3968" s="462"/>
    </row>
    <row r="3969" spans="1:4" x14ac:dyDescent="0.2">
      <c r="A3969" s="462"/>
      <c r="B3969" s="462"/>
      <c r="C3969" s="21"/>
      <c r="D3969" s="462"/>
    </row>
    <row r="3970" spans="1:4" x14ac:dyDescent="0.2">
      <c r="A3970" s="462"/>
      <c r="B3970" s="462"/>
      <c r="C3970" s="21"/>
      <c r="D3970" s="462"/>
    </row>
    <row r="3971" spans="1:4" x14ac:dyDescent="0.2">
      <c r="A3971" s="462"/>
      <c r="B3971" s="462"/>
      <c r="C3971" s="21"/>
      <c r="D3971" s="462"/>
    </row>
    <row r="3972" spans="1:4" x14ac:dyDescent="0.2">
      <c r="A3972" s="462"/>
      <c r="B3972" s="462"/>
      <c r="C3972" s="21"/>
      <c r="D3972" s="462"/>
    </row>
    <row r="3973" spans="1:4" x14ac:dyDescent="0.2">
      <c r="A3973" s="462"/>
      <c r="B3973" s="462"/>
      <c r="C3973" s="21"/>
      <c r="D3973" s="462"/>
    </row>
    <row r="3974" spans="1:4" x14ac:dyDescent="0.2">
      <c r="A3974" s="462"/>
      <c r="B3974" s="462"/>
      <c r="C3974" s="21"/>
      <c r="D3974" s="462"/>
    </row>
    <row r="3975" spans="1:4" x14ac:dyDescent="0.2">
      <c r="A3975" s="462"/>
      <c r="B3975" s="462"/>
      <c r="C3975" s="21"/>
      <c r="D3975" s="462"/>
    </row>
    <row r="3976" spans="1:4" x14ac:dyDescent="0.2">
      <c r="A3976" s="462"/>
      <c r="B3976" s="462"/>
      <c r="C3976" s="21"/>
      <c r="D3976" s="462"/>
    </row>
    <row r="3977" spans="1:4" x14ac:dyDescent="0.2">
      <c r="A3977" s="462"/>
      <c r="B3977" s="462"/>
      <c r="C3977" s="21"/>
      <c r="D3977" s="462"/>
    </row>
    <row r="3978" spans="1:4" x14ac:dyDescent="0.2">
      <c r="A3978" s="462"/>
      <c r="B3978" s="462"/>
      <c r="C3978" s="21"/>
      <c r="D3978" s="462"/>
    </row>
    <row r="3979" spans="1:4" x14ac:dyDescent="0.2">
      <c r="A3979" s="462"/>
      <c r="B3979" s="462"/>
      <c r="C3979" s="21"/>
      <c r="D3979" s="462"/>
    </row>
    <row r="3980" spans="1:4" x14ac:dyDescent="0.2">
      <c r="A3980" s="462"/>
      <c r="B3980" s="462"/>
      <c r="C3980" s="21"/>
      <c r="D3980" s="462"/>
    </row>
    <row r="3981" spans="1:4" x14ac:dyDescent="0.2">
      <c r="A3981" s="462"/>
      <c r="B3981" s="462"/>
      <c r="C3981" s="21"/>
      <c r="D3981" s="462"/>
    </row>
    <row r="3982" spans="1:4" x14ac:dyDescent="0.2">
      <c r="A3982" s="462"/>
      <c r="B3982" s="462"/>
      <c r="C3982" s="21"/>
      <c r="D3982" s="462"/>
    </row>
    <row r="3983" spans="1:4" x14ac:dyDescent="0.2">
      <c r="A3983" s="462"/>
      <c r="B3983" s="462"/>
      <c r="C3983" s="21"/>
      <c r="D3983" s="462"/>
    </row>
    <row r="3984" spans="1:4" x14ac:dyDescent="0.2">
      <c r="A3984" s="462"/>
      <c r="B3984" s="462"/>
      <c r="C3984" s="21"/>
      <c r="D3984" s="462"/>
    </row>
    <row r="3985" spans="1:4" x14ac:dyDescent="0.2">
      <c r="A3985" s="462"/>
      <c r="B3985" s="462"/>
      <c r="C3985" s="21"/>
      <c r="D3985" s="462"/>
    </row>
    <row r="3986" spans="1:4" x14ac:dyDescent="0.2">
      <c r="A3986" s="462"/>
      <c r="B3986" s="462"/>
      <c r="C3986" s="21"/>
      <c r="D3986" s="462"/>
    </row>
    <row r="3987" spans="1:4" x14ac:dyDescent="0.2">
      <c r="A3987" s="462"/>
      <c r="B3987" s="462"/>
      <c r="C3987" s="21"/>
      <c r="D3987" s="462"/>
    </row>
    <row r="3988" spans="1:4" x14ac:dyDescent="0.2">
      <c r="A3988" s="462"/>
      <c r="B3988" s="462"/>
      <c r="C3988" s="21"/>
      <c r="D3988" s="462"/>
    </row>
    <row r="3989" spans="1:4" x14ac:dyDescent="0.2">
      <c r="A3989" s="462"/>
      <c r="B3989" s="462"/>
      <c r="C3989" s="21"/>
      <c r="D3989" s="462"/>
    </row>
    <row r="3990" spans="1:4" x14ac:dyDescent="0.2">
      <c r="A3990" s="462"/>
      <c r="B3990" s="462"/>
      <c r="C3990" s="21"/>
      <c r="D3990" s="462"/>
    </row>
    <row r="3991" spans="1:4" x14ac:dyDescent="0.2">
      <c r="A3991" s="462"/>
      <c r="B3991" s="462"/>
      <c r="C3991" s="21"/>
      <c r="D3991" s="462"/>
    </row>
    <row r="3992" spans="1:4" x14ac:dyDescent="0.2">
      <c r="A3992" s="462"/>
      <c r="B3992" s="462"/>
      <c r="C3992" s="21"/>
      <c r="D3992" s="462"/>
    </row>
    <row r="3993" spans="1:4" x14ac:dyDescent="0.2">
      <c r="A3993" s="462"/>
      <c r="B3993" s="462"/>
      <c r="C3993" s="21"/>
      <c r="D3993" s="462"/>
    </row>
    <row r="3994" spans="1:4" x14ac:dyDescent="0.2">
      <c r="A3994" s="462"/>
      <c r="B3994" s="462"/>
      <c r="C3994" s="21"/>
      <c r="D3994" s="462"/>
    </row>
    <row r="3995" spans="1:4" x14ac:dyDescent="0.2">
      <c r="A3995" s="462"/>
      <c r="B3995" s="462"/>
      <c r="C3995" s="21"/>
      <c r="D3995" s="462"/>
    </row>
    <row r="3996" spans="1:4" x14ac:dyDescent="0.2">
      <c r="A3996" s="462"/>
      <c r="B3996" s="462"/>
      <c r="C3996" s="21"/>
      <c r="D3996" s="462"/>
    </row>
    <row r="3997" spans="1:4" x14ac:dyDescent="0.2">
      <c r="A3997" s="462"/>
      <c r="B3997" s="462"/>
      <c r="C3997" s="21"/>
      <c r="D3997" s="462"/>
    </row>
    <row r="3998" spans="1:4" x14ac:dyDescent="0.2">
      <c r="A3998" s="462"/>
      <c r="B3998" s="462"/>
      <c r="C3998" s="21"/>
      <c r="D3998" s="462"/>
    </row>
    <row r="3999" spans="1:4" x14ac:dyDescent="0.2">
      <c r="A3999" s="462"/>
      <c r="B3999" s="462"/>
      <c r="C3999" s="21"/>
      <c r="D3999" s="462"/>
    </row>
    <row r="4000" spans="1:4" x14ac:dyDescent="0.2">
      <c r="A4000" s="462"/>
      <c r="B4000" s="462"/>
      <c r="C4000" s="21"/>
      <c r="D4000" s="462"/>
    </row>
    <row r="4001" spans="1:4" x14ac:dyDescent="0.2">
      <c r="A4001" s="462"/>
      <c r="B4001" s="462"/>
      <c r="C4001" s="21"/>
      <c r="D4001" s="462"/>
    </row>
    <row r="4002" spans="1:4" x14ac:dyDescent="0.2">
      <c r="A4002" s="462"/>
      <c r="B4002" s="462"/>
      <c r="C4002" s="21"/>
      <c r="D4002" s="462"/>
    </row>
    <row r="4003" spans="1:4" x14ac:dyDescent="0.2">
      <c r="A4003" s="462"/>
      <c r="B4003" s="462"/>
      <c r="C4003" s="21"/>
      <c r="D4003" s="462"/>
    </row>
    <row r="4004" spans="1:4" x14ac:dyDescent="0.2">
      <c r="A4004" s="462"/>
      <c r="B4004" s="462"/>
      <c r="C4004" s="21"/>
      <c r="D4004" s="462"/>
    </row>
    <row r="4005" spans="1:4" x14ac:dyDescent="0.2">
      <c r="A4005" s="462"/>
      <c r="B4005" s="462"/>
      <c r="C4005" s="21"/>
      <c r="D4005" s="462"/>
    </row>
    <row r="4006" spans="1:4" x14ac:dyDescent="0.2">
      <c r="A4006" s="462"/>
      <c r="B4006" s="462"/>
      <c r="C4006" s="21"/>
      <c r="D4006" s="462"/>
    </row>
    <row r="4007" spans="1:4" x14ac:dyDescent="0.2">
      <c r="A4007" s="462"/>
      <c r="B4007" s="462"/>
      <c r="C4007" s="21"/>
      <c r="D4007" s="462"/>
    </row>
    <row r="4008" spans="1:4" x14ac:dyDescent="0.2">
      <c r="A4008" s="462"/>
      <c r="B4008" s="462"/>
      <c r="C4008" s="21"/>
      <c r="D4008" s="462"/>
    </row>
    <row r="4009" spans="1:4" x14ac:dyDescent="0.2">
      <c r="A4009" s="462"/>
      <c r="B4009" s="462"/>
      <c r="C4009" s="21"/>
      <c r="D4009" s="462"/>
    </row>
    <row r="4010" spans="1:4" x14ac:dyDescent="0.2">
      <c r="A4010" s="462"/>
      <c r="B4010" s="462"/>
      <c r="C4010" s="21"/>
      <c r="D4010" s="462"/>
    </row>
    <row r="4011" spans="1:4" x14ac:dyDescent="0.2">
      <c r="A4011" s="462"/>
      <c r="B4011" s="462"/>
      <c r="C4011" s="21"/>
      <c r="D4011" s="462"/>
    </row>
    <row r="4012" spans="1:4" x14ac:dyDescent="0.2">
      <c r="A4012" s="462"/>
      <c r="B4012" s="462"/>
      <c r="C4012" s="21"/>
      <c r="D4012" s="462"/>
    </row>
    <row r="4013" spans="1:4" x14ac:dyDescent="0.2">
      <c r="A4013" s="462"/>
      <c r="B4013" s="462"/>
      <c r="C4013" s="21"/>
      <c r="D4013" s="462"/>
    </row>
    <row r="4014" spans="1:4" x14ac:dyDescent="0.2">
      <c r="A4014" s="462"/>
      <c r="B4014" s="462"/>
      <c r="C4014" s="21"/>
      <c r="D4014" s="462"/>
    </row>
    <row r="4015" spans="1:4" x14ac:dyDescent="0.2">
      <c r="A4015" s="462"/>
      <c r="B4015" s="462"/>
      <c r="C4015" s="21"/>
      <c r="D4015" s="462"/>
    </row>
    <row r="4016" spans="1:4" x14ac:dyDescent="0.2">
      <c r="A4016" s="462"/>
      <c r="B4016" s="462"/>
      <c r="C4016" s="21"/>
      <c r="D4016" s="462"/>
    </row>
    <row r="4017" spans="1:4" x14ac:dyDescent="0.2">
      <c r="A4017" s="462"/>
      <c r="B4017" s="462"/>
      <c r="C4017" s="21"/>
      <c r="D4017" s="462"/>
    </row>
    <row r="4018" spans="1:4" x14ac:dyDescent="0.2">
      <c r="A4018" s="462"/>
      <c r="B4018" s="462"/>
      <c r="C4018" s="21"/>
      <c r="D4018" s="462"/>
    </row>
    <row r="4019" spans="1:4" x14ac:dyDescent="0.2">
      <c r="A4019" s="462"/>
      <c r="B4019" s="462"/>
      <c r="C4019" s="21"/>
      <c r="D4019" s="462"/>
    </row>
    <row r="4020" spans="1:4" x14ac:dyDescent="0.2">
      <c r="A4020" s="462"/>
      <c r="B4020" s="462"/>
      <c r="C4020" s="21"/>
      <c r="D4020" s="462"/>
    </row>
    <row r="4021" spans="1:4" x14ac:dyDescent="0.2">
      <c r="A4021" s="462"/>
      <c r="B4021" s="462"/>
      <c r="C4021" s="21"/>
      <c r="D4021" s="462"/>
    </row>
    <row r="4022" spans="1:4" x14ac:dyDescent="0.2">
      <c r="A4022" s="462"/>
      <c r="B4022" s="462"/>
      <c r="C4022" s="21"/>
      <c r="D4022" s="462"/>
    </row>
    <row r="4023" spans="1:4" x14ac:dyDescent="0.2">
      <c r="A4023" s="462"/>
      <c r="B4023" s="462"/>
      <c r="C4023" s="21"/>
      <c r="D4023" s="462"/>
    </row>
    <row r="4024" spans="1:4" x14ac:dyDescent="0.2">
      <c r="A4024" s="462"/>
      <c r="B4024" s="462"/>
      <c r="C4024" s="21"/>
      <c r="D4024" s="462"/>
    </row>
    <row r="4025" spans="1:4" x14ac:dyDescent="0.2">
      <c r="A4025" s="462"/>
      <c r="B4025" s="462"/>
      <c r="C4025" s="21"/>
      <c r="D4025" s="462"/>
    </row>
    <row r="4026" spans="1:4" x14ac:dyDescent="0.2">
      <c r="A4026" s="462"/>
      <c r="B4026" s="462"/>
      <c r="C4026" s="21"/>
      <c r="D4026" s="462"/>
    </row>
    <row r="4027" spans="1:4" x14ac:dyDescent="0.2">
      <c r="A4027" s="462"/>
      <c r="B4027" s="462"/>
      <c r="C4027" s="21"/>
      <c r="D4027" s="462"/>
    </row>
    <row r="4028" spans="1:4" x14ac:dyDescent="0.2">
      <c r="A4028" s="462"/>
      <c r="B4028" s="462"/>
      <c r="C4028" s="21"/>
      <c r="D4028" s="462"/>
    </row>
    <row r="4029" spans="1:4" x14ac:dyDescent="0.2">
      <c r="A4029" s="462"/>
      <c r="B4029" s="462"/>
      <c r="C4029" s="21"/>
      <c r="D4029" s="462"/>
    </row>
    <row r="4030" spans="1:4" x14ac:dyDescent="0.2">
      <c r="A4030" s="462"/>
      <c r="B4030" s="462"/>
      <c r="C4030" s="21"/>
      <c r="D4030" s="462"/>
    </row>
    <row r="4031" spans="1:4" x14ac:dyDescent="0.2">
      <c r="A4031" s="462"/>
      <c r="B4031" s="462"/>
      <c r="C4031" s="21"/>
      <c r="D4031" s="462"/>
    </row>
    <row r="4032" spans="1:4" x14ac:dyDescent="0.2">
      <c r="A4032" s="462"/>
      <c r="B4032" s="462"/>
      <c r="C4032" s="21"/>
      <c r="D4032" s="462"/>
    </row>
    <row r="4033" spans="1:4" x14ac:dyDescent="0.2">
      <c r="A4033" s="462"/>
      <c r="B4033" s="462"/>
      <c r="C4033" s="21"/>
      <c r="D4033" s="462"/>
    </row>
    <row r="4034" spans="1:4" x14ac:dyDescent="0.2">
      <c r="A4034" s="462"/>
      <c r="B4034" s="462"/>
      <c r="C4034" s="21"/>
      <c r="D4034" s="462"/>
    </row>
    <row r="4035" spans="1:4" x14ac:dyDescent="0.2">
      <c r="A4035" s="462"/>
      <c r="B4035" s="462"/>
      <c r="C4035" s="21"/>
      <c r="D4035" s="462"/>
    </row>
    <row r="4036" spans="1:4" x14ac:dyDescent="0.2">
      <c r="A4036" s="462"/>
      <c r="B4036" s="462"/>
      <c r="C4036" s="21"/>
      <c r="D4036" s="462"/>
    </row>
    <row r="4037" spans="1:4" x14ac:dyDescent="0.2">
      <c r="A4037" s="462"/>
      <c r="B4037" s="462"/>
      <c r="C4037" s="21"/>
      <c r="D4037" s="462"/>
    </row>
    <row r="4038" spans="1:4" x14ac:dyDescent="0.2">
      <c r="A4038" s="462"/>
      <c r="B4038" s="462"/>
      <c r="C4038" s="21"/>
      <c r="D4038" s="462"/>
    </row>
    <row r="4039" spans="1:4" x14ac:dyDescent="0.2">
      <c r="A4039" s="462"/>
      <c r="B4039" s="462"/>
      <c r="C4039" s="21"/>
      <c r="D4039" s="462"/>
    </row>
    <row r="4040" spans="1:4" x14ac:dyDescent="0.2">
      <c r="A4040" s="462"/>
      <c r="B4040" s="462"/>
      <c r="C4040" s="21"/>
      <c r="D4040" s="462"/>
    </row>
    <row r="4041" spans="1:4" x14ac:dyDescent="0.2">
      <c r="A4041" s="462"/>
      <c r="B4041" s="462"/>
      <c r="C4041" s="21"/>
      <c r="D4041" s="462"/>
    </row>
    <row r="4042" spans="1:4" x14ac:dyDescent="0.2">
      <c r="A4042" s="462"/>
      <c r="B4042" s="462"/>
      <c r="C4042" s="21"/>
      <c r="D4042" s="462"/>
    </row>
    <row r="4043" spans="1:4" x14ac:dyDescent="0.2">
      <c r="A4043" s="462"/>
      <c r="B4043" s="462"/>
      <c r="C4043" s="21"/>
      <c r="D4043" s="462"/>
    </row>
    <row r="4044" spans="1:4" x14ac:dyDescent="0.2">
      <c r="A4044" s="462"/>
      <c r="B4044" s="462"/>
      <c r="C4044" s="21"/>
      <c r="D4044" s="462"/>
    </row>
    <row r="4045" spans="1:4" x14ac:dyDescent="0.2">
      <c r="A4045" s="462"/>
      <c r="B4045" s="462"/>
      <c r="C4045" s="21"/>
      <c r="D4045" s="462"/>
    </row>
    <row r="4046" spans="1:4" x14ac:dyDescent="0.2">
      <c r="A4046" s="462"/>
      <c r="B4046" s="462"/>
      <c r="C4046" s="21"/>
      <c r="D4046" s="462"/>
    </row>
    <row r="4047" spans="1:4" x14ac:dyDescent="0.2">
      <c r="A4047" s="462"/>
      <c r="B4047" s="462"/>
      <c r="C4047" s="21"/>
      <c r="D4047" s="462"/>
    </row>
    <row r="4048" spans="1:4" x14ac:dyDescent="0.2">
      <c r="A4048" s="462"/>
      <c r="B4048" s="462"/>
      <c r="C4048" s="21"/>
      <c r="D4048" s="462"/>
    </row>
    <row r="4049" spans="1:4" x14ac:dyDescent="0.2">
      <c r="A4049" s="462"/>
      <c r="B4049" s="462"/>
      <c r="C4049" s="21"/>
      <c r="D4049" s="462"/>
    </row>
    <row r="4050" spans="1:4" x14ac:dyDescent="0.2">
      <c r="A4050" s="462"/>
      <c r="B4050" s="462"/>
      <c r="C4050" s="21"/>
      <c r="D4050" s="462"/>
    </row>
  </sheetData>
  <mergeCells count="101">
    <mergeCell ref="A2351:J2351"/>
    <mergeCell ref="A2345:K2345"/>
    <mergeCell ref="A2341:K2341"/>
    <mergeCell ref="A201:B201"/>
    <mergeCell ref="A204:B204"/>
    <mergeCell ref="C203:E203"/>
    <mergeCell ref="C204:E204"/>
    <mergeCell ref="A213:B213"/>
    <mergeCell ref="F217:I217"/>
    <mergeCell ref="A218:B218"/>
    <mergeCell ref="C218:E218"/>
    <mergeCell ref="A217:B217"/>
    <mergeCell ref="C217:E217"/>
    <mergeCell ref="C214:E214"/>
    <mergeCell ref="A214:B214"/>
    <mergeCell ref="A215:B215"/>
    <mergeCell ref="C213:E213"/>
    <mergeCell ref="A208:B208"/>
    <mergeCell ref="A209:B209"/>
    <mergeCell ref="C205:E205"/>
    <mergeCell ref="A212:B212"/>
    <mergeCell ref="C206:E206"/>
    <mergeCell ref="C210:E210"/>
    <mergeCell ref="A211:B211"/>
    <mergeCell ref="A193:I193"/>
    <mergeCell ref="A194:I194"/>
    <mergeCell ref="A190:I190"/>
    <mergeCell ref="A185:I185"/>
    <mergeCell ref="A189:I189"/>
    <mergeCell ref="A195:I195"/>
    <mergeCell ref="A203:B203"/>
    <mergeCell ref="A197:L197"/>
    <mergeCell ref="A200:I200"/>
    <mergeCell ref="C201:E201"/>
    <mergeCell ref="C202:E202"/>
    <mergeCell ref="F201:I201"/>
    <mergeCell ref="A202:B202"/>
    <mergeCell ref="A191:I191"/>
    <mergeCell ref="A192:I192"/>
    <mergeCell ref="A186:I186"/>
    <mergeCell ref="A187:I187"/>
    <mergeCell ref="A188:I188"/>
    <mergeCell ref="A182:I182"/>
    <mergeCell ref="A178:I178"/>
    <mergeCell ref="A180:I180"/>
    <mergeCell ref="A179:I179"/>
    <mergeCell ref="A183:I183"/>
    <mergeCell ref="A184:I184"/>
    <mergeCell ref="A173:I173"/>
    <mergeCell ref="A158:I158"/>
    <mergeCell ref="A160:I160"/>
    <mergeCell ref="A162:I162"/>
    <mergeCell ref="A163:I163"/>
    <mergeCell ref="A177:I177"/>
    <mergeCell ref="A159:I159"/>
    <mergeCell ref="A169:I169"/>
    <mergeCell ref="A171:I171"/>
    <mergeCell ref="A210:B210"/>
    <mergeCell ref="A206:B206"/>
    <mergeCell ref="C212:E212"/>
    <mergeCell ref="C207:E207"/>
    <mergeCell ref="C208:E208"/>
    <mergeCell ref="C209:E209"/>
    <mergeCell ref="C211:E211"/>
    <mergeCell ref="A207:B207"/>
    <mergeCell ref="A205:B205"/>
    <mergeCell ref="N2275:V2275"/>
    <mergeCell ref="A222:L222"/>
    <mergeCell ref="A224:L224"/>
    <mergeCell ref="J369:L370"/>
    <mergeCell ref="C215:E215"/>
    <mergeCell ref="C216:E216"/>
    <mergeCell ref="A219:B219"/>
    <mergeCell ref="C219:E219"/>
    <mergeCell ref="F219:I219"/>
    <mergeCell ref="A216:B216"/>
    <mergeCell ref="M1552:N1553"/>
    <mergeCell ref="A10:L10"/>
    <mergeCell ref="A11:L11"/>
    <mergeCell ref="A12:K12"/>
    <mergeCell ref="A15:K15"/>
    <mergeCell ref="A17:K17"/>
    <mergeCell ref="A175:I175"/>
    <mergeCell ref="A176:I176"/>
    <mergeCell ref="A174:I174"/>
    <mergeCell ref="A149:I149"/>
    <mergeCell ref="A165:I165"/>
    <mergeCell ref="A167:I167"/>
    <mergeCell ref="A22:K22"/>
    <mergeCell ref="A144:L144"/>
    <mergeCell ref="A150:I150"/>
    <mergeCell ref="A172:I172"/>
    <mergeCell ref="A164:I164"/>
    <mergeCell ref="A170:I170"/>
    <mergeCell ref="A168:I168"/>
    <mergeCell ref="A157:I157"/>
    <mergeCell ref="A154:I154"/>
    <mergeCell ref="A152:I152"/>
    <mergeCell ref="A153:I153"/>
    <mergeCell ref="A155:I155"/>
    <mergeCell ref="A156:I156"/>
  </mergeCells>
  <printOptions horizontalCentered="1"/>
  <pageMargins left="0.39370078740157499" right="0" top="0.55118110236220497" bottom="0.35433070866141703" header="0" footer="0"/>
  <pageSetup paperSize="9" scale="85" fitToWidth="0" fitToHeight="0" orientation="landscape" useFirstPageNumber="1" r:id="rId1"/>
  <headerFooter>
    <oddFooter>&amp;C &amp;P</oddFooter>
  </headerFooter>
  <rowBreaks count="1" manualBreakCount="1"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showGridLines="0" topLeftCell="A278" workbookViewId="0">
      <selection activeCell="F94" sqref="F94"/>
    </sheetView>
  </sheetViews>
  <sheetFormatPr defaultRowHeight="11.25" x14ac:dyDescent="0.2"/>
  <cols>
    <col min="1" max="1" width="11.7109375" style="73" customWidth="1"/>
    <col min="2" max="2" width="10.85546875" style="73" customWidth="1"/>
    <col min="3" max="3" width="21.7109375" style="10" customWidth="1"/>
    <col min="4" max="4" width="27.7109375" style="10" customWidth="1"/>
    <col min="5" max="5" width="27.5703125" style="10" customWidth="1"/>
    <col min="6" max="6" width="15.140625" style="74" customWidth="1"/>
    <col min="7" max="7" width="10" style="75" customWidth="1"/>
    <col min="8" max="8" width="13.140625" style="74" customWidth="1"/>
    <col min="9" max="9" width="8.140625" style="76" customWidth="1"/>
    <col min="10" max="10" width="8" style="76" customWidth="1"/>
    <col min="11" max="11" width="8.5703125" style="76" customWidth="1"/>
    <col min="12" max="12" width="13.5703125" style="76" customWidth="1"/>
    <col min="13" max="13" width="9.5703125" style="76" bestFit="1" customWidth="1"/>
    <col min="14" max="16384" width="9.140625" style="76"/>
  </cols>
  <sheetData>
    <row r="1" spans="1:12" ht="15" customHeight="1" x14ac:dyDescent="0.2">
      <c r="A1" s="72"/>
    </row>
    <row r="2" spans="1:12" s="77" customFormat="1" ht="17.25" customHeight="1" x14ac:dyDescent="0.2">
      <c r="A2" s="1196" t="s">
        <v>411</v>
      </c>
      <c r="B2" s="1197"/>
      <c r="C2" s="1197"/>
      <c r="D2" s="1197"/>
      <c r="E2" s="1197"/>
      <c r="F2" s="1197"/>
      <c r="G2" s="1197"/>
      <c r="H2" s="1198"/>
    </row>
    <row r="3" spans="1:12" s="77" customFormat="1" ht="15" customHeight="1" x14ac:dyDescent="0.2">
      <c r="A3" s="29"/>
      <c r="B3" s="29"/>
      <c r="C3" s="54"/>
      <c r="D3" s="54"/>
      <c r="E3" s="54"/>
      <c r="F3" s="54"/>
      <c r="G3" s="54"/>
      <c r="H3" s="54"/>
    </row>
    <row r="4" spans="1:12" ht="11.25" customHeight="1" x14ac:dyDescent="0.2">
      <c r="A4" s="1203" t="s">
        <v>393</v>
      </c>
      <c r="B4" s="1204"/>
      <c r="C4" s="1205" t="s">
        <v>394</v>
      </c>
      <c r="D4" s="1205" t="s">
        <v>395</v>
      </c>
      <c r="E4" s="1205" t="s">
        <v>396</v>
      </c>
      <c r="F4" s="1201" t="s">
        <v>156</v>
      </c>
      <c r="G4" s="1199" t="s">
        <v>281</v>
      </c>
      <c r="H4" s="1201" t="s">
        <v>157</v>
      </c>
    </row>
    <row r="5" spans="1:12" ht="33.75" x14ac:dyDescent="0.2">
      <c r="A5" s="30" t="s">
        <v>286</v>
      </c>
      <c r="B5" s="30" t="s">
        <v>397</v>
      </c>
      <c r="C5" s="1206"/>
      <c r="D5" s="1206"/>
      <c r="E5" s="1206"/>
      <c r="F5" s="1202"/>
      <c r="G5" s="1200"/>
      <c r="H5" s="1202"/>
      <c r="I5" s="78"/>
      <c r="J5" s="78"/>
      <c r="K5" s="78"/>
    </row>
    <row r="6" spans="1:12" s="83" customFormat="1" x14ac:dyDescent="0.2">
      <c r="A6" s="79" t="s">
        <v>52</v>
      </c>
      <c r="B6" s="79" t="s">
        <v>398</v>
      </c>
      <c r="C6" s="79" t="s">
        <v>60</v>
      </c>
      <c r="D6" s="79" t="s">
        <v>282</v>
      </c>
      <c r="E6" s="79" t="s">
        <v>283</v>
      </c>
      <c r="F6" s="80">
        <v>6</v>
      </c>
      <c r="G6" s="81">
        <v>7</v>
      </c>
      <c r="H6" s="80">
        <v>8</v>
      </c>
      <c r="I6" s="82"/>
    </row>
    <row r="7" spans="1:12" ht="33.75" x14ac:dyDescent="0.2">
      <c r="A7" s="31" t="s">
        <v>249</v>
      </c>
      <c r="B7" s="31"/>
      <c r="C7" s="32" t="str">
        <f>'РЕБ 3, септембар 19'!I448</f>
        <v>ПРОГРАМ 1 - УРБАНИЗАМ И ПРОСТОРНО ПЛАНИРАЊЕ</v>
      </c>
      <c r="D7" s="32" t="s">
        <v>471</v>
      </c>
      <c r="E7" s="32" t="s">
        <v>472</v>
      </c>
      <c r="F7" s="33">
        <f>SUM(F8:F10)</f>
        <v>22748002</v>
      </c>
      <c r="G7" s="33">
        <f t="shared" ref="G7" si="0">SUM(G8)</f>
        <v>0</v>
      </c>
      <c r="H7" s="33">
        <f>SUM(F7:G7)</f>
        <v>22748002</v>
      </c>
      <c r="I7" s="82"/>
      <c r="L7" s="78"/>
    </row>
    <row r="8" spans="1:12" ht="33.75" x14ac:dyDescent="0.2">
      <c r="A8" s="11"/>
      <c r="B8" s="11" t="str">
        <f>'РЕБ 3, септембар 19'!E451</f>
        <v>1101-0001</v>
      </c>
      <c r="C8" s="2" t="str">
        <f>'РЕБ 3, септембар 19'!I451</f>
        <v>Просторно и урбанистичко планирање</v>
      </c>
      <c r="D8" s="2" t="s">
        <v>473</v>
      </c>
      <c r="E8" s="2" t="s">
        <v>399</v>
      </c>
      <c r="F8" s="3">
        <f>'РЕБ 3, септембар 19'!J455</f>
        <v>18948000</v>
      </c>
      <c r="G8" s="3">
        <f>'РЕБ 3, септембар 19'!K455</f>
        <v>0</v>
      </c>
      <c r="H8" s="3">
        <f>'РЕБ 3, септембар 19'!L455</f>
        <v>18948000</v>
      </c>
      <c r="I8" s="82"/>
    </row>
    <row r="9" spans="1:12" ht="22.5" x14ac:dyDescent="0.2">
      <c r="A9" s="11"/>
      <c r="B9" s="60" t="str">
        <f>'РЕБ 3, септембар 19'!E461</f>
        <v>1101-0004</v>
      </c>
      <c r="C9" s="765" t="str">
        <f>'РЕБ 3, септембар 19'!I461</f>
        <v>Стамбена подршка</v>
      </c>
      <c r="D9" s="2" t="s">
        <v>779</v>
      </c>
      <c r="E9" s="2" t="s">
        <v>780</v>
      </c>
      <c r="F9" s="3">
        <f>'РЕБ 3, септембар 19'!J465</f>
        <v>2</v>
      </c>
      <c r="G9" s="3">
        <f>'РЕБ 3, септембар 19'!K462</f>
        <v>0</v>
      </c>
      <c r="H9" s="3">
        <f>'РЕБ 3, септембар 19'!L462</f>
        <v>1</v>
      </c>
      <c r="I9" s="82"/>
    </row>
    <row r="10" spans="1:12" ht="67.5" customHeight="1" x14ac:dyDescent="0.2">
      <c r="A10" s="11"/>
      <c r="B10" s="11"/>
      <c r="C10" s="765" t="str">
        <f>'РЕБ 3, септембар 19'!I467</f>
        <v>ПРОЈЕКАТ  - Израда пројектне и техничке документације и рушење станова у бр. 6, 8 и 10 у Железничкој улици у Инђији</v>
      </c>
      <c r="D10" s="2"/>
      <c r="E10" s="2"/>
      <c r="F10" s="3">
        <f>'РЕБ 3, септембар 19'!J468</f>
        <v>3800000</v>
      </c>
      <c r="G10" s="3">
        <f>'РЕБ 3, септембар 19'!K468</f>
        <v>0</v>
      </c>
      <c r="H10" s="3">
        <f>'РЕБ 3, септембар 19'!L468</f>
        <v>3800000</v>
      </c>
      <c r="I10" s="82"/>
    </row>
    <row r="11" spans="1:12" ht="52.5" customHeight="1" x14ac:dyDescent="0.2">
      <c r="A11" s="31" t="s">
        <v>454</v>
      </c>
      <c r="B11" s="31"/>
      <c r="C11" s="32" t="str">
        <f>'РЕБ 3, септембар 19'!I472</f>
        <v>ПРОГРАМ 2 - КОМУНАЛНЕ ДЕЛАТНОСТИ</v>
      </c>
      <c r="D11" s="34" t="s">
        <v>781</v>
      </c>
      <c r="E11" s="34"/>
      <c r="F11" s="33">
        <f>SUM(F12:F48)</f>
        <v>806765191.93000007</v>
      </c>
      <c r="G11" s="33">
        <f t="shared" ref="G11:H11" si="1">SUM(G12:G48)</f>
        <v>0</v>
      </c>
      <c r="H11" s="33">
        <f t="shared" si="1"/>
        <v>806765191.93000007</v>
      </c>
      <c r="I11" s="82"/>
      <c r="L11" s="78"/>
    </row>
    <row r="12" spans="1:12" ht="45" x14ac:dyDescent="0.2">
      <c r="A12" s="11"/>
      <c r="B12" s="60" t="s">
        <v>457</v>
      </c>
      <c r="C12" s="6" t="str">
        <f>'РЕБ 3, септембар 19'!I672</f>
        <v>Управљање/одржавање јавним осветљењем</v>
      </c>
      <c r="D12" s="6" t="s">
        <v>782</v>
      </c>
      <c r="E12" s="6" t="s">
        <v>783</v>
      </c>
      <c r="F12" s="3">
        <f>'РЕБ 3, септембар 19'!J677</f>
        <v>25527456</v>
      </c>
      <c r="G12" s="3">
        <f>'РЕБ 3, септембар 19'!K677</f>
        <v>0</v>
      </c>
      <c r="H12" s="3">
        <f>'РЕБ 3, септембар 19'!L677</f>
        <v>25527456</v>
      </c>
      <c r="I12" s="82"/>
      <c r="L12" s="78"/>
    </row>
    <row r="13" spans="1:12" ht="33.75" x14ac:dyDescent="0.2">
      <c r="A13" s="11"/>
      <c r="B13" s="11" t="str">
        <f>'РЕБ 3, септембар 19'!E475</f>
        <v>1102-0002</v>
      </c>
      <c r="C13" s="6" t="str">
        <f>'РЕБ 3, септембар 19'!I475</f>
        <v>Одржавање јавних зелених површина</v>
      </c>
      <c r="D13" s="6" t="s">
        <v>474</v>
      </c>
      <c r="E13" s="6" t="s">
        <v>475</v>
      </c>
      <c r="F13" s="3">
        <f>'РЕБ 3, септембар 19'!J479</f>
        <v>134000000</v>
      </c>
      <c r="G13" s="3">
        <f>'РЕБ 3, септембар 19'!K479</f>
        <v>0</v>
      </c>
      <c r="H13" s="3">
        <f>'РЕБ 3, септембар 19'!L479</f>
        <v>134000000</v>
      </c>
      <c r="I13" s="84"/>
    </row>
    <row r="14" spans="1:12" ht="70.5" customHeight="1" x14ac:dyDescent="0.2">
      <c r="A14" s="11"/>
      <c r="B14" s="60" t="str">
        <f>'РЕБ 3, септембар 19'!E484</f>
        <v>1102-0004</v>
      </c>
      <c r="C14" s="6" t="str">
        <f>'РЕБ 3, септембар 19'!I485</f>
        <v>Зоохигијена</v>
      </c>
      <c r="D14" s="6" t="s">
        <v>687</v>
      </c>
      <c r="E14" s="6" t="s">
        <v>688</v>
      </c>
      <c r="F14" s="3">
        <f>'РЕБ 3, септембар 19'!J487</f>
        <v>10000000</v>
      </c>
      <c r="G14" s="3">
        <f>'РЕБ 3, септембар 19'!K489</f>
        <v>0</v>
      </c>
      <c r="H14" s="3">
        <f>'РЕБ 3, септембар 19'!L489</f>
        <v>10000000</v>
      </c>
      <c r="I14" s="84"/>
    </row>
    <row r="15" spans="1:12" ht="70.5" customHeight="1" x14ac:dyDescent="0.2">
      <c r="A15" s="11"/>
      <c r="B15" s="60"/>
      <c r="C15" s="6" t="str">
        <f>'РЕБ 3, септембар 19'!I491</f>
        <v>ПРОЈЕКАТ Изградња капеле у Марадику</v>
      </c>
      <c r="D15" s="6"/>
      <c r="E15" s="6"/>
      <c r="F15" s="3">
        <f>'РЕБ 3, септембар 19'!J495</f>
        <v>6200000</v>
      </c>
      <c r="G15" s="3">
        <f>'РЕБ 3, септембар 19'!K495</f>
        <v>0</v>
      </c>
      <c r="H15" s="3">
        <f>'РЕБ 3, септембар 19'!L495</f>
        <v>6200000</v>
      </c>
      <c r="I15" s="84"/>
    </row>
    <row r="16" spans="1:12" ht="70.5" customHeight="1" x14ac:dyDescent="0.2">
      <c r="A16" s="11"/>
      <c r="B16" s="60"/>
      <c r="C16" s="6" t="str">
        <f>'РЕБ 3, септембар 19'!I497</f>
        <v>ПРОЈЕКАТ Изградња капеле у Чортановцима</v>
      </c>
      <c r="D16" s="6"/>
      <c r="E16" s="6"/>
      <c r="F16" s="3">
        <f>'РЕБ 3, септембар 19'!J501</f>
        <v>6200000</v>
      </c>
      <c r="G16" s="3">
        <f>'РЕБ 3, септембар 19'!K501</f>
        <v>0</v>
      </c>
      <c r="H16" s="3">
        <f>'РЕБ 3, септембар 19'!L501</f>
        <v>6200000</v>
      </c>
      <c r="I16" s="84"/>
    </row>
    <row r="17" spans="1:12" ht="48" customHeight="1" x14ac:dyDescent="0.2">
      <c r="A17" s="11"/>
      <c r="B17" s="11"/>
      <c r="C17" s="6" t="str">
        <f>'РЕБ 3, септембар 19'!I503</f>
        <v>ПРОЈЕКАТ Израда пројектне документације за уређење парка Проте Радослава Марковића</v>
      </c>
      <c r="D17" s="6"/>
      <c r="E17" s="2"/>
      <c r="F17" s="4">
        <f>'РЕБ 3, септембар 19'!J507</f>
        <v>600001</v>
      </c>
      <c r="G17" s="4">
        <f>'РЕБ 3, септембар 19'!K507</f>
        <v>0</v>
      </c>
      <c r="H17" s="4">
        <f>'РЕБ 3, септембар 19'!L507</f>
        <v>600001</v>
      </c>
      <c r="I17" s="84"/>
    </row>
    <row r="18" spans="1:12" ht="63.75" customHeight="1" x14ac:dyDescent="0.2">
      <c r="A18" s="11"/>
      <c r="B18" s="11"/>
      <c r="C18" s="6" t="str">
        <f>'РЕБ 3, септембар 19'!I509</f>
        <v>ПРОЈЕКАТ Израда пројектне документације за уређење парка са леве стране Новосадске улице у смеру ка Новом Саду</v>
      </c>
      <c r="D18" s="6"/>
      <c r="E18" s="2"/>
      <c r="F18" s="4">
        <f>'РЕБ 3, септембар 19'!J513</f>
        <v>600001</v>
      </c>
      <c r="G18" s="4">
        <f>'РЕБ 3, септембар 19'!K513</f>
        <v>0</v>
      </c>
      <c r="H18" s="4">
        <f>'РЕБ 3, септембар 19'!L513</f>
        <v>600001</v>
      </c>
      <c r="L18" s="78"/>
    </row>
    <row r="19" spans="1:12" ht="57" customHeight="1" x14ac:dyDescent="0.2">
      <c r="A19" s="11"/>
      <c r="B19" s="11"/>
      <c r="C19" s="6" t="str">
        <f>'РЕБ 3, септембар 19'!I515</f>
        <v>ПРОЈЕКАТ Израда пројектне документације за уређење парка са десне стране Новосадске улице у смеру ка Новом Саду</v>
      </c>
      <c r="D19" s="6"/>
      <c r="E19" s="2"/>
      <c r="F19" s="4">
        <f>'РЕБ 3, септембар 19'!J519</f>
        <v>600001</v>
      </c>
      <c r="G19" s="4">
        <f>'РЕБ 3, септембар 19'!K519</f>
        <v>0</v>
      </c>
      <c r="H19" s="4">
        <f>'РЕБ 3, септембар 19'!L519</f>
        <v>600001</v>
      </c>
    </row>
    <row r="20" spans="1:12" ht="57" customHeight="1" x14ac:dyDescent="0.2">
      <c r="A20" s="11"/>
      <c r="B20" s="11"/>
      <c r="C20" s="93" t="str">
        <f>'РЕБ 3, септембар 19'!I521</f>
        <v>ПРОЈЕКАТ Израда пројектне документације за уређење парка код железничке станице</v>
      </c>
      <c r="D20" s="6"/>
      <c r="E20" s="2"/>
      <c r="F20" s="4">
        <f>'РЕБ 3, септембар 19'!J525</f>
        <v>600001</v>
      </c>
      <c r="G20" s="4">
        <f>'РЕБ 3, септембар 19'!K525</f>
        <v>0</v>
      </c>
      <c r="H20" s="4">
        <f>'РЕБ 3, септембар 19'!L525</f>
        <v>600001</v>
      </c>
    </row>
    <row r="21" spans="1:12" ht="57" customHeight="1" x14ac:dyDescent="0.2">
      <c r="A21" s="11"/>
      <c r="B21" s="11"/>
      <c r="C21" s="93" t="str">
        <f>'РЕБ 3, септембар 19'!I527</f>
        <v>ПРОЈЕКАТ Извођење радова на реконструкцији уређења паркова по пројектној документацији</v>
      </c>
      <c r="D21" s="6"/>
      <c r="E21" s="2"/>
      <c r="F21" s="4">
        <f>'РЕБ 3, септембар 19'!J528</f>
        <v>10000000</v>
      </c>
      <c r="G21" s="4">
        <f>'РЕБ 3, септембар 19'!K528</f>
        <v>0</v>
      </c>
      <c r="H21" s="4">
        <f>'РЕБ 3, септембар 19'!L528</f>
        <v>10000000</v>
      </c>
      <c r="I21" s="767"/>
    </row>
    <row r="22" spans="1:12" ht="57" customHeight="1" x14ac:dyDescent="0.2">
      <c r="A22" s="11"/>
      <c r="B22" s="11"/>
      <c r="C22" s="93" t="str">
        <f>'РЕБ 3, септембар 19'!I534</f>
        <v>ПРОЈЕКАТ  - ЧИПОВАЊЕ И СТЕРИЛИЗАЦИЈА ПАСА И МАЧАКА</v>
      </c>
      <c r="D22" s="6"/>
      <c r="E22" s="2"/>
      <c r="F22" s="4">
        <f>'РЕБ 3, септембар 19'!J535</f>
        <v>1500000</v>
      </c>
      <c r="G22" s="4">
        <f>'РЕБ 3, септембар 19'!K535</f>
        <v>0</v>
      </c>
      <c r="H22" s="4">
        <f>'РЕБ 3, септембар 19'!L535</f>
        <v>1500000</v>
      </c>
    </row>
    <row r="23" spans="1:12" ht="57" customHeight="1" x14ac:dyDescent="0.2">
      <c r="A23" s="11"/>
      <c r="B23" s="11"/>
      <c r="C23" s="93" t="str">
        <f>'РЕБ 3, септембар 19'!I541</f>
        <v>ПРОЈЕКАТ  - НАБАВКА ПОСУДА ЗА САКУПЉАЊЕ КОМУНАЛНОГ ОТПАДА</v>
      </c>
      <c r="D23" s="6"/>
      <c r="E23" s="2"/>
      <c r="F23" s="4">
        <f>'РЕБ 3, септембар 19'!J542</f>
        <v>4000000</v>
      </c>
      <c r="G23" s="4">
        <f>'РЕБ 3, септембар 19'!K542</f>
        <v>0</v>
      </c>
      <c r="H23" s="4">
        <f>'РЕБ 3, септембар 19'!L542</f>
        <v>4000000</v>
      </c>
    </row>
    <row r="24" spans="1:12" ht="47.25" customHeight="1" x14ac:dyDescent="0.2">
      <c r="A24" s="11"/>
      <c r="B24" s="11"/>
      <c r="C24" s="93" t="str">
        <f>'РЕБ 3, септембар 19'!I548</f>
        <v>ПРОЈЕКАТ - Постројење за припрему воде</v>
      </c>
      <c r="D24" s="6"/>
      <c r="E24" s="2"/>
      <c r="F24" s="4">
        <f>'РЕБ 3, септембар 19'!J549</f>
        <v>20000000</v>
      </c>
      <c r="G24" s="4">
        <f>'РЕБ 3, септембар 19'!K549</f>
        <v>0</v>
      </c>
      <c r="H24" s="4">
        <f>'РЕБ 3, септембар 19'!L549</f>
        <v>20000000</v>
      </c>
    </row>
    <row r="25" spans="1:12" ht="73.5" customHeight="1" x14ac:dyDescent="0.2">
      <c r="A25" s="11"/>
      <c r="B25" s="11"/>
      <c r="C25" s="93" t="str">
        <f>'РЕБ 3, септембар 19'!I554</f>
        <v>ПРОЈЕКАТ - ЈКП "Водовод и канализација" Повезани цевовод Инђија - Бешка - Фаза I (од фабрике Грундфос до шахта Ш6 код ЦС Бешка -Југ)</v>
      </c>
      <c r="D25" s="6"/>
      <c r="E25" s="2"/>
      <c r="F25" s="4">
        <f>'РЕБ 3, септембар 19'!J555</f>
        <v>25389007</v>
      </c>
      <c r="G25" s="4">
        <f>'РЕБ 3, септембар 19'!K555</f>
        <v>0</v>
      </c>
      <c r="H25" s="4">
        <f>'РЕБ 3, септембар 19'!L555</f>
        <v>25389007</v>
      </c>
    </row>
    <row r="26" spans="1:12" ht="165.75" customHeight="1" x14ac:dyDescent="0.2">
      <c r="A26" s="11"/>
      <c r="B26" s="11"/>
      <c r="C26" s="93" t="str">
        <f>'РЕБ 3, септембар 19'!I560</f>
        <v>ПРОЈЕКАТ - ЈКП "Водовод и канализација" Изградња сабирног цевовода, батерија бунара Б-23, Б-24, Б-25 и полагање напојног вода за све три батерије на катастарским парцелама број 7510/16, 7510/20,7510/24 и 7710/14 К.О . Инђија-Фаза IV/сабирни цевовод, напојни вод и бушење и опремање бунара Б/25д и Б/25п/</v>
      </c>
      <c r="D26" s="6"/>
      <c r="E26" s="2"/>
      <c r="F26" s="4">
        <f>'РЕБ 3, септембар 19'!J564</f>
        <v>28303721.93</v>
      </c>
      <c r="G26" s="4">
        <f>'РЕБ 3, септембар 19'!K564</f>
        <v>0</v>
      </c>
      <c r="H26" s="4">
        <f>'РЕБ 3, септембар 19'!L564</f>
        <v>28303721.93</v>
      </c>
    </row>
    <row r="27" spans="1:12" ht="57" customHeight="1" x14ac:dyDescent="0.2">
      <c r="A27" s="11"/>
      <c r="B27" s="11"/>
      <c r="C27" s="93" t="str">
        <f>'РЕБ 3, септембар 19'!I567</f>
        <v>ПРОЈЕКАТ - Изградња водовода дуж саобраћајнице С1 у радној зони Локација 15 КО Инђија у дужини 600 м</v>
      </c>
      <c r="D27" s="6"/>
      <c r="E27" s="2"/>
      <c r="F27" s="4">
        <f>'РЕБ 3, септембар 19'!J572</f>
        <v>3475000</v>
      </c>
      <c r="G27" s="4">
        <f>'РЕБ 3, септембар 19'!K572</f>
        <v>0</v>
      </c>
      <c r="H27" s="4">
        <f>'РЕБ 3, септембар 19'!L572</f>
        <v>3475000</v>
      </c>
    </row>
    <row r="28" spans="1:12" ht="57" customHeight="1" x14ac:dyDescent="0.2">
      <c r="A28" s="11"/>
      <c r="B28" s="11"/>
      <c r="C28" s="93" t="str">
        <f>'РЕБ 3, септембар 19'!I574</f>
        <v>ПРОЈЕКАТ- Извођење радова на продужетку водоводне мреже у улици Змај Јовина у ИНђији</v>
      </c>
      <c r="D28" s="6"/>
      <c r="E28" s="2"/>
      <c r="F28" s="4">
        <f>'РЕБ 3, септембар 19'!J575</f>
        <v>2380000</v>
      </c>
      <c r="G28" s="4">
        <f>'РЕБ 3, септембар 19'!K575</f>
        <v>0</v>
      </c>
      <c r="H28" s="4">
        <f>'РЕБ 3, септембар 19'!L575</f>
        <v>2380000</v>
      </c>
    </row>
    <row r="29" spans="1:12" ht="57" customHeight="1" x14ac:dyDescent="0.2">
      <c r="A29" s="11"/>
      <c r="B29" s="11"/>
      <c r="C29" s="93" t="str">
        <f>'РЕБ 3, септембар 19'!I579</f>
        <v>ПРОЈЕКАТ - Извођење радова на продужетку водоводне мреже у улици Мике Антића у Бешки</v>
      </c>
      <c r="D29" s="6"/>
      <c r="E29" s="2"/>
      <c r="F29" s="4">
        <f>'РЕБ 3, септембар 19'!J580</f>
        <v>748000</v>
      </c>
      <c r="G29" s="4">
        <f>'РЕБ 3, септембар 19'!K580</f>
        <v>0</v>
      </c>
      <c r="H29" s="4">
        <f>'РЕБ 3, септембар 19'!L580</f>
        <v>748000</v>
      </c>
    </row>
    <row r="30" spans="1:12" ht="73.5" customHeight="1" x14ac:dyDescent="0.2">
      <c r="A30" s="11"/>
      <c r="B30" s="11"/>
      <c r="C30" s="93" t="str">
        <f>'РЕБ 3, септембар 19'!I584</f>
        <v>ПРОЈЕКАТ - Израда пројектне документације и извођење радова на уређењу објекта месне заједнице и полиције у Бешки</v>
      </c>
      <c r="D30" s="6"/>
      <c r="E30" s="2"/>
      <c r="F30" s="4">
        <f>'РЕБ 3, септембар 19'!J588</f>
        <v>2460000</v>
      </c>
      <c r="G30" s="4">
        <f>'РЕБ 3, септембар 19'!K588</f>
        <v>0</v>
      </c>
      <c r="H30" s="4">
        <f>'РЕБ 3, септембар 19'!L588</f>
        <v>2460000</v>
      </c>
    </row>
    <row r="31" spans="1:12" ht="57" customHeight="1" x14ac:dyDescent="0.2">
      <c r="A31" s="11"/>
      <c r="B31" s="11"/>
      <c r="C31" s="93" t="str">
        <f>'РЕБ 3, септембар 19'!I590</f>
        <v>ПРОЈЕКАТ -  Израда техничке документације на  уређењу просторија месне заједнице Стари Сланкамен</v>
      </c>
      <c r="D31" s="6"/>
      <c r="E31" s="2"/>
      <c r="F31" s="4">
        <f>'РЕБ 3, септембар 19'!J591</f>
        <v>500000</v>
      </c>
      <c r="G31" s="4">
        <f>'РЕБ 3, септембар 19'!K591</f>
        <v>0</v>
      </c>
      <c r="H31" s="4">
        <f>'РЕБ 3, септембар 19'!L591</f>
        <v>500000</v>
      </c>
    </row>
    <row r="32" spans="1:12" ht="57" customHeight="1" x14ac:dyDescent="0.2">
      <c r="A32" s="11"/>
      <c r="B32" s="11"/>
      <c r="C32" s="93" t="str">
        <f>'РЕБ 3, септембар 19'!I595</f>
        <v>ПРОЈЕКАТ  -  Изградња кућних прикључака  фекалне канализације Бешка</v>
      </c>
      <c r="D32" s="6"/>
      <c r="E32" s="2"/>
      <c r="F32" s="4">
        <f>'РЕБ 3, септембар 19'!J596</f>
        <v>1</v>
      </c>
      <c r="G32" s="4">
        <f>'РЕБ 3, септембар 19'!K596</f>
        <v>0</v>
      </c>
      <c r="H32" s="4">
        <f>'РЕБ 3, септембар 19'!L596</f>
        <v>1</v>
      </c>
    </row>
    <row r="33" spans="1:8" ht="79.5" customHeight="1" x14ac:dyDescent="0.2">
      <c r="A33" s="11"/>
      <c r="B33" s="11"/>
      <c r="C33" s="93" t="str">
        <f>'РЕБ 3, септембар 19'!I600</f>
        <v>ПРОЈЕКАТ  -  Израда техничке документације  изградње фекалне канализације (Крчедин, Марадик, Нови Карловци, Нови Сланкамен и Стари Сланкамен)</v>
      </c>
      <c r="D33" s="6"/>
      <c r="E33" s="2"/>
      <c r="F33" s="4">
        <f>'РЕБ 3, септембар 19'!J601</f>
        <v>1000000</v>
      </c>
      <c r="G33" s="4">
        <f>'РЕБ 3, септембар 19'!K601</f>
        <v>0</v>
      </c>
      <c r="H33" s="4">
        <f>'РЕБ 3, септембар 19'!L601</f>
        <v>1000000</v>
      </c>
    </row>
    <row r="34" spans="1:8" ht="54" customHeight="1" x14ac:dyDescent="0.2">
      <c r="A34" s="11"/>
      <c r="B34" s="11"/>
      <c r="C34" s="176" t="str">
        <f>'РЕБ 3, септембар 19'!I605</f>
        <v>ПРОЈЕКАТ  -  Изградња колектора фекалне канализације за потребе индустријске зоне Бешка</v>
      </c>
      <c r="D34" s="6"/>
      <c r="E34" s="2"/>
      <c r="F34" s="85">
        <f>'РЕБ 3, септембар 19'!J606</f>
        <v>100000</v>
      </c>
      <c r="G34" s="85">
        <f>'РЕБ 3, септембар 19'!K606</f>
        <v>0</v>
      </c>
      <c r="H34" s="85">
        <f>'РЕБ 3, септембар 19'!L606</f>
        <v>100000</v>
      </c>
    </row>
    <row r="35" spans="1:8" ht="63" customHeight="1" x14ac:dyDescent="0.2">
      <c r="A35" s="11"/>
      <c r="B35" s="11"/>
      <c r="C35" s="6" t="str">
        <f>'РЕБ 3, септембар 19'!I610</f>
        <v>ПРОЈЕКАТ - Извођење радова на опремању индустријске зоне Бешка (пут, вода и фекална канализација)</v>
      </c>
      <c r="D35" s="6"/>
      <c r="E35" s="2"/>
      <c r="F35" s="4">
        <f>'РЕБ 3, септембар 19'!J614</f>
        <v>2</v>
      </c>
      <c r="G35" s="4">
        <f>'РЕБ 3, септембар 19'!K614</f>
        <v>0</v>
      </c>
      <c r="H35" s="4">
        <f>'РЕБ 3, септембар 19'!L614</f>
        <v>2</v>
      </c>
    </row>
    <row r="36" spans="1:8" ht="54" customHeight="1" x14ac:dyDescent="0.2">
      <c r="A36" s="11"/>
      <c r="B36" s="11"/>
      <c r="C36" s="6" t="str">
        <f>'РЕБ 3, септембар 19'!I616</f>
        <v>ПРОЈЕКАТ  - Учешће у изградњи продужетака НН мреже у Калакачи Бешка</v>
      </c>
      <c r="D36" s="6"/>
      <c r="E36" s="2"/>
      <c r="F36" s="4">
        <f>'РЕБ 3, септембар 19'!J617</f>
        <v>1950000</v>
      </c>
      <c r="G36" s="4">
        <f>'РЕБ 3, септембар 19'!K617</f>
        <v>0</v>
      </c>
      <c r="H36" s="4">
        <f>'РЕБ 3, септембар 19'!L617</f>
        <v>1950000</v>
      </c>
    </row>
    <row r="37" spans="1:8" ht="47.25" customHeight="1" x14ac:dyDescent="0.2">
      <c r="A37" s="11"/>
      <c r="B37" s="11"/>
      <c r="C37" s="766" t="str">
        <f>'РЕБ 3, септембар 19'!I621</f>
        <v>ПРОЈЕКАТ  - Израда пројектне документације реконструкције градске пијаце у Инђији</v>
      </c>
      <c r="D37" s="6"/>
      <c r="E37" s="2"/>
      <c r="F37" s="4">
        <f>'РЕБ 3, септембар 19'!J622</f>
        <v>4500000</v>
      </c>
      <c r="G37" s="4">
        <f>'РЕБ 3, септембар 19'!K622</f>
        <v>0</v>
      </c>
      <c r="H37" s="4">
        <f>'РЕБ 3, септембар 19'!L622</f>
        <v>4500000</v>
      </c>
    </row>
    <row r="38" spans="1:8" ht="47.25" customHeight="1" x14ac:dyDescent="0.2">
      <c r="A38" s="11"/>
      <c r="B38" s="11"/>
      <c r="C38" s="86" t="str">
        <f>'РЕБ 3, септембар 19'!I626</f>
        <v>ПРОЈЕКАТ  - Реконструкција градске пијаце у Инђији</v>
      </c>
      <c r="D38" s="6"/>
      <c r="E38" s="2"/>
      <c r="F38" s="4">
        <f>'РЕБ 3, септембар 19'!J631</f>
        <v>240800000</v>
      </c>
      <c r="G38" s="4">
        <f>'РЕБ 3, септембар 19'!K631</f>
        <v>0</v>
      </c>
      <c r="H38" s="4">
        <f>'РЕБ 3, септембар 19'!L631</f>
        <v>240800000</v>
      </c>
    </row>
    <row r="39" spans="1:8" ht="107.25" customHeight="1" x14ac:dyDescent="0.2">
      <c r="A39" s="11"/>
      <c r="B39" s="11"/>
      <c r="C39" s="6" t="str">
        <f>'РЕБ 3, септембар 19'!I633</f>
        <v>ПРОЈЕКАТ  - Израда пројектне документације за изградњу фекалне канализације у насељима општине Инђија  (Бешка трећа фаза, Нови Карловци, Нови Сланкамен и Стари Сланкамен)</v>
      </c>
      <c r="D39" s="6"/>
      <c r="E39" s="2"/>
      <c r="F39" s="4">
        <f>'РЕБ 3, септембар 19'!J634</f>
        <v>5000000</v>
      </c>
      <c r="G39" s="4">
        <f>'РЕБ 3, септембар 19'!K634</f>
        <v>0</v>
      </c>
      <c r="H39" s="4">
        <f>'РЕБ 3, септембар 19'!L634</f>
        <v>5000000</v>
      </c>
    </row>
    <row r="40" spans="1:8" ht="151.5" customHeight="1" x14ac:dyDescent="0.2">
      <c r="A40" s="11"/>
      <c r="B40" s="11"/>
      <c r="C40" s="6" t="str">
        <f>'РЕБ 3, септембар 19'!I638</f>
        <v>ПРОЈЕКАТ - Извођење радова на опремању индустријске зоне Локација 15 - друга фаза (пут, вода и фекална канализација дуж саобраћајнице С-2) - фаза изградње фекалне канализације дуж десног крака саобраћајнице С2 од шахта Ф3-19 до шахта Ф2-27</v>
      </c>
      <c r="D40" s="6"/>
      <c r="E40" s="2"/>
      <c r="F40" s="4">
        <f>'РЕБ 3, септембар 19'!J644</f>
        <v>22800000</v>
      </c>
      <c r="G40" s="4">
        <f>'РЕБ 3, септембар 19'!K644</f>
        <v>0</v>
      </c>
      <c r="H40" s="4">
        <f>'РЕБ 3, септембар 19'!L644</f>
        <v>22800000</v>
      </c>
    </row>
    <row r="41" spans="1:8" ht="62.25" customHeight="1" x14ac:dyDescent="0.2">
      <c r="A41" s="11"/>
      <c r="B41" s="11"/>
      <c r="C41" s="6" t="str">
        <f>'РЕБ 3, септембар 19'!I646</f>
        <v>ПРОЈЕКАТ  - Стручни надзор над изградњом водоводне мреже и фекалне канализације дуж саобраћајнице С2</v>
      </c>
      <c r="D41" s="6"/>
      <c r="E41" s="2"/>
      <c r="F41" s="4">
        <f>'РЕБ 3, септембар 19'!J647</f>
        <v>1200000</v>
      </c>
      <c r="G41" s="4">
        <f>'РЕБ 3, септембар 19'!K647</f>
        <v>0</v>
      </c>
      <c r="H41" s="4">
        <f>'РЕБ 3, септембар 19'!L647</f>
        <v>1200000</v>
      </c>
    </row>
    <row r="42" spans="1:8" ht="65.25" customHeight="1" x14ac:dyDescent="0.2">
      <c r="A42" s="11"/>
      <c r="B42" s="11"/>
      <c r="C42" s="6" t="str">
        <f>'РЕБ 3, септембар 19'!I651</f>
        <v>ПРОЈЕКАТ  - Стручни надзор над изградњом колектора фекалне канализације за потребе индустријске зоне Бешка</v>
      </c>
      <c r="D42" s="6"/>
      <c r="E42" s="2"/>
      <c r="F42" s="4">
        <f>'РЕБ 3, септембар 19'!J652</f>
        <v>500000</v>
      </c>
      <c r="G42" s="4">
        <f>'РЕБ 3, септембар 19'!K652</f>
        <v>0</v>
      </c>
      <c r="H42" s="4">
        <f>'РЕБ 3, септембар 19'!L652</f>
        <v>500000</v>
      </c>
    </row>
    <row r="43" spans="1:8" ht="51" customHeight="1" x14ac:dyDescent="0.2">
      <c r="A43" s="11"/>
      <c r="B43" s="11"/>
      <c r="C43" s="6" t="str">
        <f>'РЕБ 3, септембар 19'!I656</f>
        <v>ПРОЈЕКАТ - Израда техничке документације за уређење комплекса пијаце у Бешки</v>
      </c>
      <c r="D43" s="6"/>
      <c r="E43" s="2"/>
      <c r="F43" s="4">
        <f>'РЕБ 3, септембар 19'!J657</f>
        <v>600000</v>
      </c>
      <c r="G43" s="4">
        <f>'РЕБ 3, септембар 19'!K657</f>
        <v>0</v>
      </c>
      <c r="H43" s="4">
        <f>'РЕБ 3, септембар 19'!L657</f>
        <v>600000</v>
      </c>
    </row>
    <row r="44" spans="1:8" ht="45" customHeight="1" x14ac:dyDescent="0.2">
      <c r="A44" s="11"/>
      <c r="B44" s="11"/>
      <c r="C44" s="6" t="str">
        <f>'РЕБ 3, септембар 19'!I679</f>
        <v>ПРОЈЕКАТ - Набавка камиона кипера и камиона смећара</v>
      </c>
      <c r="D44" s="6"/>
      <c r="E44" s="2"/>
      <c r="F44" s="4">
        <f>'РЕБ 3, септембар 19'!J683</f>
        <v>5060000</v>
      </c>
      <c r="G44" s="4">
        <f>'РЕБ 3, септембар 19'!K683</f>
        <v>0</v>
      </c>
      <c r="H44" s="4">
        <f>'РЕБ 3, септембар 19'!L683</f>
        <v>5060000</v>
      </c>
    </row>
    <row r="45" spans="1:8" ht="31.5" customHeight="1" x14ac:dyDescent="0.2">
      <c r="A45" s="11"/>
      <c r="B45" s="11"/>
      <c r="C45" s="6" t="str">
        <f>'РЕБ 3, септембар 19'!I686</f>
        <v>ПРОЈЕКАТ - Набавка возила - ПАУК</v>
      </c>
      <c r="D45" s="6"/>
      <c r="E45" s="2"/>
      <c r="F45" s="4">
        <f>'РЕБ 3, септембар 19'!J690</f>
        <v>15962000</v>
      </c>
      <c r="G45" s="4">
        <f>'РЕБ 3, септембар 19'!K690</f>
        <v>0</v>
      </c>
      <c r="H45" s="4">
        <f>'РЕБ 3, септембар 19'!L690</f>
        <v>15962000</v>
      </c>
    </row>
    <row r="46" spans="1:8" ht="69" customHeight="1" x14ac:dyDescent="0.2">
      <c r="A46" s="11"/>
      <c r="B46" s="11"/>
      <c r="C46" s="6" t="str">
        <f>'РЕБ 3, септембар 19'!I693</f>
        <v>ПРОЈЕКАТ -  Изградња фекалне канализације дуж саобраћајнице С1 у радној зони Локација 15 КО Инђија у дужини 600 м</v>
      </c>
      <c r="D46" s="6"/>
      <c r="E46" s="2"/>
      <c r="F46" s="4">
        <f>'РЕБ 3, септембар 19'!J698</f>
        <v>8540000</v>
      </c>
      <c r="G46" s="4">
        <f>'РЕБ 3, септембар 19'!K698</f>
        <v>0</v>
      </c>
      <c r="H46" s="4">
        <f>'РЕБ 3, септембар 19'!L698</f>
        <v>8540000</v>
      </c>
    </row>
    <row r="47" spans="1:8" ht="66" customHeight="1" x14ac:dyDescent="0.2">
      <c r="A47" s="11"/>
      <c r="B47" s="11"/>
      <c r="C47" s="6" t="str">
        <f>'РЕБ 3, септембар 19'!I700</f>
        <v>ПРОЈЕКАТ - Израда техничке документације за уградњу инсталација и опреме у ЦС фекалне канализације у С3 Локација 15 КО Инђија</v>
      </c>
      <c r="D47" s="6"/>
      <c r="E47" s="2"/>
      <c r="F47" s="4">
        <f>'РЕБ 3, септембар 19'!J701</f>
        <v>240000</v>
      </c>
      <c r="G47" s="4">
        <f>'РЕБ 3, септембар 19'!K701</f>
        <v>0</v>
      </c>
      <c r="H47" s="4">
        <f>'РЕБ 3, септембар 19'!L701</f>
        <v>240000</v>
      </c>
    </row>
    <row r="48" spans="1:8" ht="66" customHeight="1" x14ac:dyDescent="0.2">
      <c r="A48" s="11"/>
      <c r="B48" s="11"/>
      <c r="C48" s="6" t="str">
        <f>'РЕБ 3, септембар 19'!I661</f>
        <v>ПРОЈЕКАТ - Нивелација земњишта - ископ хумуса са утоваром и транспортом у индустријској зони Локација 15, Инђија</v>
      </c>
      <c r="D48" s="6"/>
      <c r="E48" s="2"/>
      <c r="F48" s="4">
        <f>'РЕБ 3, септембар 19'!J665</f>
        <v>215430000</v>
      </c>
      <c r="G48" s="4">
        <f>'РЕБ 3, септембар 19'!K665</f>
        <v>0</v>
      </c>
      <c r="H48" s="4">
        <f>'РЕБ 3, септембар 19'!L665</f>
        <v>215430000</v>
      </c>
    </row>
    <row r="49" spans="1:12" ht="51.75" customHeight="1" x14ac:dyDescent="0.2">
      <c r="A49" s="31" t="s">
        <v>253</v>
      </c>
      <c r="B49" s="31"/>
      <c r="C49" s="32" t="s">
        <v>400</v>
      </c>
      <c r="D49" s="32" t="s">
        <v>476</v>
      </c>
      <c r="E49" s="32" t="s">
        <v>477</v>
      </c>
      <c r="F49" s="33">
        <f>SUM(F50:F66)</f>
        <v>139238431</v>
      </c>
      <c r="G49" s="33">
        <f>SUM(G50:G66)</f>
        <v>0</v>
      </c>
      <c r="H49" s="33">
        <f>SUM(H50:H66)</f>
        <v>139238431</v>
      </c>
      <c r="L49" s="78"/>
    </row>
    <row r="50" spans="1:12" ht="45" x14ac:dyDescent="0.2">
      <c r="A50" s="11"/>
      <c r="B50" s="11" t="str">
        <f>'РЕБ 3, септембар 19'!E708</f>
        <v>1501-0001</v>
      </c>
      <c r="C50" s="6" t="str">
        <f>'РЕБ 3, септембар 19'!I708</f>
        <v>Унапређење привредног  и инвестиционог амбијента</v>
      </c>
      <c r="D50" s="6" t="s">
        <v>585</v>
      </c>
      <c r="E50" s="6" t="s">
        <v>586</v>
      </c>
      <c r="F50" s="5">
        <f>'РЕБ 3, септембар 19'!J712+'РЕБ 3, септембар 19'!J720+'РЕБ 3, септембар 19'!J730</f>
        <v>25365000</v>
      </c>
      <c r="G50" s="5">
        <f>'РЕБ 3, септембар 19'!K712+'РЕБ 3, септембар 19'!K720+'РЕБ 3, септембар 19'!K730</f>
        <v>0</v>
      </c>
      <c r="H50" s="5">
        <f>'РЕБ 3, септембар 19'!L712+'РЕБ 3, септембар 19'!L720+'РЕБ 3, септембар 19'!L730</f>
        <v>25365000</v>
      </c>
    </row>
    <row r="51" spans="1:12" ht="64.5" customHeight="1" x14ac:dyDescent="0.2">
      <c r="A51" s="11"/>
      <c r="B51" s="11" t="str">
        <f>'РЕБ 3, септембар 19'!E735</f>
        <v>1501-0003</v>
      </c>
      <c r="C51" s="6" t="str">
        <f>'РЕБ 3, септембар 19'!I735</f>
        <v>Подршка економском развоју и промоцији предузетништва</v>
      </c>
      <c r="D51" s="6" t="s">
        <v>478</v>
      </c>
      <c r="E51" s="6" t="s">
        <v>479</v>
      </c>
      <c r="F51" s="5">
        <f>'РЕБ 3, септембар 19'!J741</f>
        <v>11461603</v>
      </c>
      <c r="G51" s="5">
        <f>'РЕБ 3, септембар 19'!K741</f>
        <v>0</v>
      </c>
      <c r="H51" s="5">
        <f>'РЕБ 3, септембар 19'!L741</f>
        <v>11461603</v>
      </c>
    </row>
    <row r="52" spans="1:12" ht="64.5" customHeight="1" x14ac:dyDescent="0.2">
      <c r="A52" s="11"/>
      <c r="B52" s="11"/>
      <c r="C52" s="6" t="str">
        <f>'РЕБ 3, септембар 19'!I750</f>
        <v>ПРОЈЕКАТ  - Центар за заштиту потрошача - образовни потрошач Инђија - суфинасирање пројеката</v>
      </c>
      <c r="D52" s="6"/>
      <c r="E52" s="6"/>
      <c r="F52" s="5">
        <f>'РЕБ 3, септембар 19'!J753</f>
        <v>65000</v>
      </c>
      <c r="G52" s="5">
        <f>'РЕБ 3, септембар 19'!K753</f>
        <v>0</v>
      </c>
      <c r="H52" s="5">
        <f>'РЕБ 3, септембар 19'!L753</f>
        <v>65000</v>
      </c>
    </row>
    <row r="53" spans="1:12" ht="33.75" x14ac:dyDescent="0.2">
      <c r="A53" s="11"/>
      <c r="B53" s="11"/>
      <c r="C53" s="13" t="str">
        <f>'РЕБ 3, септембар 19'!I745</f>
        <v>ПРОЈЕКАТ  - КОНКУРС ЗА ОСТАЛЕ НЕВЛАДИНЕ ОРГАНИЗАЦИЈЕ</v>
      </c>
      <c r="D53" s="6"/>
      <c r="E53" s="6"/>
      <c r="F53" s="5">
        <f>'РЕБ 3, септембар 19'!J746</f>
        <v>10530000</v>
      </c>
      <c r="G53" s="5">
        <f>'РЕБ 3, септембар 19'!K746</f>
        <v>0</v>
      </c>
      <c r="H53" s="5">
        <f>'РЕБ 3, септембар 19'!L746</f>
        <v>10530000</v>
      </c>
    </row>
    <row r="54" spans="1:12" ht="48.75" customHeight="1" x14ac:dyDescent="0.2">
      <c r="A54" s="11"/>
      <c r="B54" s="11"/>
      <c r="C54" s="13" t="str">
        <f>'РЕБ 3, септембар 19'!I756</f>
        <v>ПРОЈЕКАТ  - Израда геомеханичког елабората земљишта на локацији 15 у Инђији</v>
      </c>
      <c r="D54" s="6"/>
      <c r="E54" s="6"/>
      <c r="F54" s="5">
        <f>'РЕБ 3, септембар 19'!J757</f>
        <v>600000</v>
      </c>
      <c r="G54" s="5">
        <f>'РЕБ 3, септембар 19'!K759</f>
        <v>0</v>
      </c>
      <c r="H54" s="5">
        <f>'РЕБ 3, септембар 19'!L759</f>
        <v>600000</v>
      </c>
    </row>
    <row r="55" spans="1:12" ht="33.75" x14ac:dyDescent="0.2">
      <c r="A55" s="11"/>
      <c r="B55" s="11"/>
      <c r="C55" s="87" t="str">
        <f>'РЕБ 3, септембар 19'!I763</f>
        <v>ПРОЈЕКАТ  - ПОДСТИЦАЈИ ЗА РАЗВОЈ ПРЕДУЗЕТНИШТВА</v>
      </c>
      <c r="D55" s="6"/>
      <c r="E55" s="6"/>
      <c r="F55" s="5">
        <f>'РЕБ 3, септембар 19'!J764</f>
        <v>13370000</v>
      </c>
      <c r="G55" s="5">
        <f>'РЕБ 3, септембар 19'!K764</f>
        <v>0</v>
      </c>
      <c r="H55" s="5">
        <f>'РЕБ 3, септембар 19'!L764</f>
        <v>13370000</v>
      </c>
    </row>
    <row r="56" spans="1:12" ht="56.25" x14ac:dyDescent="0.2">
      <c r="A56" s="11"/>
      <c r="B56" s="11"/>
      <c r="C56" s="87" t="str">
        <f>'РЕБ 3, септембар 19'!I770</f>
        <v>ПРОЈЕКАТ  - СУБВЕНЦИОНИСАЊЕ ДЕЛА КАМАТНИХ СТОПА ЗА ПРЕДУЗЕЋА И ПРЕДУЗЕТНИКЕ</v>
      </c>
      <c r="D56" s="6"/>
      <c r="E56" s="6"/>
      <c r="F56" s="5">
        <f>'РЕБ 3, септембар 19'!J771</f>
        <v>5000000</v>
      </c>
      <c r="G56" s="5">
        <f>'РЕБ 3, септембар 19'!K771</f>
        <v>0</v>
      </c>
      <c r="H56" s="5">
        <f>'РЕБ 3, септембар 19'!L771</f>
        <v>5000000</v>
      </c>
    </row>
    <row r="57" spans="1:12" ht="22.5" x14ac:dyDescent="0.2">
      <c r="A57" s="11"/>
      <c r="B57" s="11"/>
      <c r="C57" s="87" t="str">
        <f>'РЕБ 3, септембар 19'!I777</f>
        <v>ПРОЈЕКАТ  - Промоција општине Инђија</v>
      </c>
      <c r="D57" s="6"/>
      <c r="E57" s="6"/>
      <c r="F57" s="5">
        <f>'РЕБ 3, септембар 19'!J781</f>
        <v>12500000</v>
      </c>
      <c r="G57" s="5">
        <f>'РЕБ 3, септембар 19'!K781</f>
        <v>0</v>
      </c>
      <c r="H57" s="5">
        <f>'РЕБ 3, септембар 19'!L781</f>
        <v>12500000</v>
      </c>
    </row>
    <row r="58" spans="1:12" ht="22.5" x14ac:dyDescent="0.2">
      <c r="A58" s="11"/>
      <c r="B58" s="11"/>
      <c r="C58" s="87" t="str">
        <f>'РЕБ 3, септембар 19'!I784</f>
        <v>ПРОЈЕКАТ  - Дунавско село "Риверленд"</v>
      </c>
      <c r="D58" s="6"/>
      <c r="E58" s="6"/>
      <c r="F58" s="5">
        <f>'РЕБ 3, септембар 19'!J785</f>
        <v>500000</v>
      </c>
      <c r="G58" s="5">
        <f>'РЕБ 3, септембар 19'!K785</f>
        <v>0</v>
      </c>
      <c r="H58" s="5">
        <f>'РЕБ 3, септембар 19'!L785</f>
        <v>500000</v>
      </c>
    </row>
    <row r="59" spans="1:12" ht="54" customHeight="1" x14ac:dyDescent="0.2">
      <c r="A59" s="11"/>
      <c r="B59" s="11"/>
      <c r="C59" s="87" t="str">
        <f>'РЕБ 3, септембар 19'!I791</f>
        <v>ПРОЈЕКАТ  - "ПОДСТИЦАЈИ ЗАПОШЉАВАЊА НЕЗАПОСЛЕНИХ ЛИЦА"</v>
      </c>
      <c r="D59" s="6"/>
      <c r="E59" s="6"/>
      <c r="F59" s="5">
        <f>'РЕБ 3, септембар 19'!J792</f>
        <v>8000000</v>
      </c>
      <c r="G59" s="5">
        <f>'РЕБ 3, септембар 19'!K792</f>
        <v>0</v>
      </c>
      <c r="H59" s="5">
        <f>'РЕБ 3, септембар 19'!L792</f>
        <v>8000000</v>
      </c>
    </row>
    <row r="60" spans="1:12" ht="43.5" customHeight="1" x14ac:dyDescent="0.2">
      <c r="A60" s="11"/>
      <c r="B60" s="11"/>
      <c r="C60" s="90" t="str">
        <f>'РЕБ 3, септембар 19'!I796</f>
        <v>ПРОЈЕКАТ  - ПОДСТИЦАЈИ ЗА РАД ИНКУБАТОРА ЗА ИНОВАТИВНЕ START-UP КОМПАНИЈЕ</v>
      </c>
      <c r="D60" s="6"/>
      <c r="E60" s="6"/>
      <c r="F60" s="5">
        <f>'РЕБ 3, септембар 19'!J797</f>
        <v>3000000</v>
      </c>
      <c r="G60" s="5">
        <f>'РЕБ 3, септембар 19'!K797</f>
        <v>0</v>
      </c>
      <c r="H60" s="5">
        <f>'РЕБ 3, септембар 19'!L797</f>
        <v>3000000</v>
      </c>
    </row>
    <row r="61" spans="1:12" ht="27" customHeight="1" x14ac:dyDescent="0.2">
      <c r="A61" s="11"/>
      <c r="B61" s="11"/>
      <c r="C61" s="6" t="str">
        <f>'РЕБ 3, септембар 19'!I802</f>
        <v>ПРОЈЕКАТ - РАЗВОЈНИ ПРОЈЕКТИ</v>
      </c>
      <c r="D61" s="6"/>
      <c r="E61" s="6"/>
      <c r="F61" s="5">
        <f>'РЕБ 3, септембар 19'!J806</f>
        <v>29901000</v>
      </c>
      <c r="G61" s="5">
        <f>'РЕБ 3, септембар 19'!K806</f>
        <v>0</v>
      </c>
      <c r="H61" s="5">
        <f>'РЕБ 3, септембар 19'!L806</f>
        <v>29901000</v>
      </c>
    </row>
    <row r="62" spans="1:12" ht="66" customHeight="1" x14ac:dyDescent="0.2">
      <c r="A62" s="11"/>
      <c r="B62" s="11"/>
      <c r="C62" s="91" t="str">
        <f>'РЕБ 3, септембар 19'!I813</f>
        <v xml:space="preserve">ПРОЈЕКАТ - Изградња царинског складишта </v>
      </c>
      <c r="D62" s="6"/>
      <c r="E62" s="2"/>
      <c r="F62" s="89">
        <f>'РЕБ 3, септембар 19'!J817</f>
        <v>3000</v>
      </c>
      <c r="G62" s="89">
        <f>'РЕБ 3, септембар 19'!K817</f>
        <v>0</v>
      </c>
      <c r="H62" s="89">
        <f>'РЕБ 3, септембар 19'!L817</f>
        <v>3000</v>
      </c>
    </row>
    <row r="63" spans="1:12" ht="66" customHeight="1" x14ac:dyDescent="0.2">
      <c r="A63" s="11"/>
      <c r="B63" s="11"/>
      <c r="C63" s="91" t="str">
        <f>'РЕБ 3, септембар 19'!I820</f>
        <v xml:space="preserve">ПРОЈЕКАТ - Израда пројектне документације и реконструкција зграде суда  у Инђији </v>
      </c>
      <c r="D63" s="6"/>
      <c r="E63" s="2"/>
      <c r="F63" s="89">
        <f>'РЕБ 3, септембар 19'!J824</f>
        <v>6292828</v>
      </c>
      <c r="G63" s="89">
        <f>'РЕБ 3, септембар 19'!K824</f>
        <v>0</v>
      </c>
      <c r="H63" s="89">
        <f>'РЕБ 3, септембар 19'!L824</f>
        <v>6292828</v>
      </c>
    </row>
    <row r="64" spans="1:12" ht="84.75" customHeight="1" x14ac:dyDescent="0.2">
      <c r="A64" s="11"/>
      <c r="B64" s="11"/>
      <c r="C64" s="91" t="str">
        <f>'РЕБ 3, септембар 19'!I826</f>
        <v>ПРОЈЕКАТ - Инвестициони радови на текућем одржавању зграде суда  у Инђији - молерско фарбарски, електро и подополагачки радови</v>
      </c>
      <c r="D64" s="6"/>
      <c r="E64" s="2"/>
      <c r="F64" s="89">
        <f>'РЕБ 3, септембар 19'!J830</f>
        <v>6150000</v>
      </c>
      <c r="G64" s="89">
        <f>'РЕБ 3, септембар 19'!K830</f>
        <v>0</v>
      </c>
      <c r="H64" s="89">
        <f>'РЕБ 3, септембар 19'!L830</f>
        <v>6150000</v>
      </c>
    </row>
    <row r="65" spans="1:12" ht="66" customHeight="1" x14ac:dyDescent="0.2">
      <c r="A65" s="11"/>
      <c r="B65" s="11"/>
      <c r="C65" s="91" t="str">
        <f>'РЕБ 3, септембар 19'!I832</f>
        <v xml:space="preserve">ПРОЈЕКАТ - Набавка канцеларијске опреме за зграду суда  у Инђији </v>
      </c>
      <c r="D65" s="6"/>
      <c r="E65" s="2"/>
      <c r="F65" s="89">
        <f>'РЕБ 3, септембар 19'!J835</f>
        <v>4000000</v>
      </c>
      <c r="G65" s="89">
        <f>'РЕБ 3, септембар 19'!K835</f>
        <v>0</v>
      </c>
      <c r="H65" s="89">
        <f>'РЕБ 3, септембар 19'!L835</f>
        <v>4000000</v>
      </c>
    </row>
    <row r="66" spans="1:12" ht="66" customHeight="1" x14ac:dyDescent="0.2">
      <c r="A66" s="11"/>
      <c r="B66" s="11"/>
      <c r="C66" s="91" t="str">
        <f>'РЕБ 3, септембар 19'!I837</f>
        <v>ПРОЈЕКАТ - Израда 3Д модела рекламних плаката и брошура за потребе инвестиција предвиђених програмом</v>
      </c>
      <c r="D66" s="6"/>
      <c r="E66" s="2"/>
      <c r="F66" s="89">
        <f>'РЕБ 3, септембар 19'!J838</f>
        <v>2500000</v>
      </c>
      <c r="G66" s="89">
        <f>'РЕБ 3, септембар 19'!K838</f>
        <v>0</v>
      </c>
      <c r="H66" s="89">
        <f>'РЕБ 3, септембар 19'!L838</f>
        <v>2500000</v>
      </c>
    </row>
    <row r="67" spans="1:12" ht="22.5" x14ac:dyDescent="0.2">
      <c r="A67" s="31" t="s">
        <v>377</v>
      </c>
      <c r="B67" s="31"/>
      <c r="C67" s="32" t="s">
        <v>401</v>
      </c>
      <c r="D67" s="32" t="s">
        <v>480</v>
      </c>
      <c r="E67" s="32" t="s">
        <v>481</v>
      </c>
      <c r="F67" s="33">
        <f>SUM(F68:F70)</f>
        <v>21118300</v>
      </c>
      <c r="G67" s="33">
        <f t="shared" ref="G67:H67" si="2">SUM(G68:G70)</f>
        <v>282000</v>
      </c>
      <c r="H67" s="33">
        <f t="shared" si="2"/>
        <v>21400300</v>
      </c>
      <c r="L67" s="78"/>
    </row>
    <row r="68" spans="1:12" ht="33.75" x14ac:dyDescent="0.2">
      <c r="A68" s="11"/>
      <c r="B68" s="7" t="s">
        <v>226</v>
      </c>
      <c r="C68" s="2" t="str">
        <f>'РЕБ 3, септембар 19'!I849</f>
        <v>Управљање развојем туризма</v>
      </c>
      <c r="D68" s="2" t="s">
        <v>482</v>
      </c>
      <c r="E68" s="2" t="s">
        <v>483</v>
      </c>
      <c r="F68" s="5">
        <f>'РЕБ 3, септембар 19'!J869</f>
        <v>6798300</v>
      </c>
      <c r="G68" s="5">
        <f>'РЕБ 3, септембар 19'!K869</f>
        <v>7000</v>
      </c>
      <c r="H68" s="5">
        <f>'РЕБ 3, септембар 19'!L869</f>
        <v>6805300</v>
      </c>
    </row>
    <row r="69" spans="1:12" ht="33.75" x14ac:dyDescent="0.2">
      <c r="A69" s="11"/>
      <c r="B69" s="7" t="s">
        <v>236</v>
      </c>
      <c r="C69" s="2" t="str">
        <f>'РЕБ 3, септембар 19'!I872</f>
        <v xml:space="preserve">Промоција туристичке понуде </v>
      </c>
      <c r="D69" s="2" t="s">
        <v>484</v>
      </c>
      <c r="E69" s="2" t="s">
        <v>485</v>
      </c>
      <c r="F69" s="3">
        <f>'РЕБ 3, септембар 19'!J885</f>
        <v>8770000</v>
      </c>
      <c r="G69" s="3">
        <f>'РЕБ 3, септембар 19'!K885</f>
        <v>275000</v>
      </c>
      <c r="H69" s="3">
        <f>'РЕБ 3, септембар 19'!L885</f>
        <v>9045000</v>
      </c>
      <c r="L69" s="78"/>
    </row>
    <row r="70" spans="1:12" ht="38.25" customHeight="1" x14ac:dyDescent="0.2">
      <c r="A70" s="11"/>
      <c r="B70" s="7"/>
      <c r="C70" s="10" t="str">
        <f>'РЕБ 3, септембар 19'!I887</f>
        <v>ПРОЈЕКАТ - РЕКОНСТРУКЦИЈА КЕЛТСКОГ НАСЕЉА</v>
      </c>
      <c r="D70" s="2"/>
      <c r="E70" s="2"/>
      <c r="F70" s="3">
        <f>'РЕБ 3, септембар 19'!J892</f>
        <v>5550000</v>
      </c>
      <c r="G70" s="3">
        <f>'РЕБ 3, септембар 19'!K892</f>
        <v>0</v>
      </c>
      <c r="H70" s="3">
        <f>'РЕБ 3, септембар 19'!L892</f>
        <v>5550000</v>
      </c>
    </row>
    <row r="71" spans="1:12" ht="33.75" x14ac:dyDescent="0.2">
      <c r="A71" s="31" t="s">
        <v>254</v>
      </c>
      <c r="B71" s="31"/>
      <c r="C71" s="32" t="s">
        <v>486</v>
      </c>
      <c r="D71" s="32" t="s">
        <v>487</v>
      </c>
      <c r="E71" s="32" t="s">
        <v>577</v>
      </c>
      <c r="F71" s="33">
        <f>SUM(F72:F80)</f>
        <v>249474825</v>
      </c>
      <c r="G71" s="33">
        <f t="shared" ref="G71" si="3">SUM(G72:G77)</f>
        <v>0</v>
      </c>
      <c r="H71" s="33">
        <f>SUM(F71:G71)</f>
        <v>249474825</v>
      </c>
      <c r="L71" s="78"/>
    </row>
    <row r="72" spans="1:12" ht="33.75" x14ac:dyDescent="0.2">
      <c r="A72" s="11"/>
      <c r="B72" s="7" t="s">
        <v>255</v>
      </c>
      <c r="C72" s="2" t="str">
        <f>'РЕБ 3, септембар 19'!I899</f>
        <v>Подршка за спровођење пољопривредне политике у локалној заједници</v>
      </c>
      <c r="D72" s="2" t="s">
        <v>488</v>
      </c>
      <c r="E72" s="2" t="s">
        <v>489</v>
      </c>
      <c r="F72" s="3">
        <f>'РЕБ 3, септембар 19'!J906+'РЕБ 3, септембар 19'!J926</f>
        <v>22750000</v>
      </c>
      <c r="G72" s="3">
        <f>'РЕБ 3, септембар 19'!K906+'РЕБ 3, септембар 19'!K926</f>
        <v>0</v>
      </c>
      <c r="H72" s="3">
        <f>'РЕБ 3, септембар 19'!L906+'РЕБ 3, септембар 19'!L926</f>
        <v>22750000</v>
      </c>
    </row>
    <row r="73" spans="1:12" ht="56.25" x14ac:dyDescent="0.2">
      <c r="A73" s="11"/>
      <c r="B73" s="7" t="s">
        <v>419</v>
      </c>
      <c r="C73" s="2" t="str">
        <f>'РЕБ 3, септембар 19'!I911</f>
        <v>Мере подршке руралном развоју</v>
      </c>
      <c r="D73" s="2" t="s">
        <v>663</v>
      </c>
      <c r="E73" s="2" t="s">
        <v>490</v>
      </c>
      <c r="F73" s="3">
        <f>'РЕБ 3, септембар 19'!J917</f>
        <v>42742825</v>
      </c>
      <c r="G73" s="3">
        <f>'РЕБ 3, септембар 19'!K917</f>
        <v>0</v>
      </c>
      <c r="H73" s="3">
        <f>'РЕБ 3, септембар 19'!L917</f>
        <v>42742825</v>
      </c>
    </row>
    <row r="74" spans="1:12" ht="45" x14ac:dyDescent="0.2">
      <c r="A74" s="11"/>
      <c r="B74" s="7"/>
      <c r="C74" s="6" t="str">
        <f>'РЕБ 3, септембар 19'!I931</f>
        <v>ПРОЈЕКАТ  - Уређење каналске мреже у функцији одводњавања на подручју општине Инђија</v>
      </c>
      <c r="D74" s="2"/>
      <c r="E74" s="2"/>
      <c r="F74" s="3">
        <f>'РЕБ 3, септембар 19'!J933</f>
        <v>66500000</v>
      </c>
      <c r="G74" s="3">
        <f>'РЕБ 3, септембар 19'!K933</f>
        <v>0</v>
      </c>
      <c r="H74" s="3">
        <f>'РЕБ 3, септембар 19'!L933</f>
        <v>66500000</v>
      </c>
    </row>
    <row r="75" spans="1:12" ht="58.5" customHeight="1" x14ac:dyDescent="0.2">
      <c r="A75" s="11"/>
      <c r="B75" s="7"/>
      <c r="C75" s="6" t="str">
        <f>'РЕБ 3, септембар 19'!I938</f>
        <v>ПРОЈЕКАТ - Уређење пољопривредне инфраструктуре-атарски путеви</v>
      </c>
      <c r="D75" s="2"/>
      <c r="E75" s="2"/>
      <c r="F75" s="3">
        <f>'РЕБ 3, септембар 19'!J942</f>
        <v>54650000</v>
      </c>
      <c r="G75" s="3">
        <f>'РЕБ 3, септембар 19'!K942</f>
        <v>0</v>
      </c>
      <c r="H75" s="3">
        <f>'РЕБ 3, септембар 19'!L942</f>
        <v>54650000</v>
      </c>
    </row>
    <row r="76" spans="1:12" ht="28.5" customHeight="1" x14ac:dyDescent="0.2">
      <c r="A76" s="11"/>
      <c r="B76" s="7"/>
      <c r="C76" s="6" t="str">
        <f>'РЕБ 3, септембар 19'!I947</f>
        <v>ПРОЈЕКАТ  -  Организовање пољочуварске службе</v>
      </c>
      <c r="D76" s="2"/>
      <c r="E76" s="2"/>
      <c r="F76" s="3">
        <f>'РЕБ 3, септембар 19'!J950</f>
        <v>13332000</v>
      </c>
      <c r="G76" s="3">
        <f>'РЕБ 3, септембар 19'!K950</f>
        <v>0</v>
      </c>
      <c r="H76" s="3">
        <f>'РЕБ 3, септембар 19'!L950</f>
        <v>13332000</v>
      </c>
    </row>
    <row r="77" spans="1:12" ht="59.25" customHeight="1" x14ac:dyDescent="0.2">
      <c r="A77" s="11"/>
      <c r="B77" s="7"/>
      <c r="C77" s="6" t="str">
        <f>'РЕБ 3, септембар 19'!I954</f>
        <v>ПРОЈЕКАТ - Услуге премера и идентификације катастарских парцела пољопривредног земљишта у државној својини</v>
      </c>
      <c r="D77" s="2"/>
      <c r="E77" s="2"/>
      <c r="F77" s="3">
        <f>'РЕБ 3, септембар 19'!J956</f>
        <v>6000000</v>
      </c>
      <c r="G77" s="3">
        <f>'РЕБ 3, септембар 19'!K956</f>
        <v>0</v>
      </c>
      <c r="H77" s="3">
        <f>'РЕБ 3, септембар 19'!L956</f>
        <v>6000000</v>
      </c>
    </row>
    <row r="78" spans="1:12" ht="25.5" customHeight="1" x14ac:dyDescent="0.2">
      <c r="A78" s="11"/>
      <c r="B78" s="7"/>
      <c r="C78" s="88" t="str">
        <f>'РЕБ 3, септембар 19'!I960</f>
        <v xml:space="preserve">ПРОЈЕКАТ  - Узорковање  земљишта </v>
      </c>
      <c r="D78" s="2"/>
      <c r="E78" s="2"/>
      <c r="F78" s="3">
        <f>'РЕБ 3, септембар 19'!J962</f>
        <v>4200000</v>
      </c>
      <c r="G78" s="3">
        <f>'РЕБ 3, септембар 19'!K962</f>
        <v>0</v>
      </c>
      <c r="H78" s="3">
        <f>'РЕБ 3, септембар 19'!L962</f>
        <v>4200000</v>
      </c>
    </row>
    <row r="79" spans="1:12" ht="115.5" customHeight="1" x14ac:dyDescent="0.2">
      <c r="A79" s="11"/>
      <c r="B79" s="7"/>
      <c r="C79" s="88" t="str">
        <f>'РЕБ 3, септембар 19'!I970</f>
        <v>ПРОЈЕКАТ - Припремни радови на привођењу земљишта намени, Индустријска зона, локација 3 у Бешки (култивисање локације и уклањање парлога, геодетско обележавање и увођење у посед)</v>
      </c>
      <c r="D79" s="2"/>
      <c r="E79" s="2"/>
      <c r="F79" s="3">
        <f>'РЕБ 3, септембар 19'!J972</f>
        <v>600000</v>
      </c>
      <c r="G79" s="3">
        <f>'РЕБ 3, септембар 19'!K972</f>
        <v>0</v>
      </c>
      <c r="H79" s="3">
        <f>'РЕБ 3, септембар 19'!L972</f>
        <v>600000</v>
      </c>
    </row>
    <row r="80" spans="1:12" ht="100.5" customHeight="1" x14ac:dyDescent="0.2">
      <c r="A80" s="11"/>
      <c r="B80" s="7"/>
      <c r="C80" s="88" t="str">
        <f>'РЕБ 3, септембар 19'!I965</f>
        <v>ПРОЈЕКАТ - Израда техничке документацијесистема за наводњавање у Општини Инђија (6000 ха) подсистеми (Нови Сланкамен 2300 ха и  Стари Сланкамен 3700 ха)</v>
      </c>
      <c r="D80" s="2"/>
      <c r="E80" s="2"/>
      <c r="F80" s="3">
        <f>'РЕБ 3, септембар 19'!J967</f>
        <v>38700000</v>
      </c>
      <c r="G80" s="3">
        <f>'РЕБ 3, септембар 19'!K967</f>
        <v>0</v>
      </c>
      <c r="H80" s="3">
        <f>'РЕБ 3, септембар 19'!L967</f>
        <v>38700000</v>
      </c>
    </row>
    <row r="81" spans="1:12" ht="22.5" x14ac:dyDescent="0.2">
      <c r="A81" s="31" t="s">
        <v>257</v>
      </c>
      <c r="B81" s="31"/>
      <c r="C81" s="32" t="s">
        <v>402</v>
      </c>
      <c r="D81" s="32" t="s">
        <v>578</v>
      </c>
      <c r="E81" s="35" t="s">
        <v>491</v>
      </c>
      <c r="F81" s="33">
        <f>SUM(F82:F93)</f>
        <v>67843280.799999997</v>
      </c>
      <c r="G81" s="33"/>
      <c r="H81" s="33">
        <f>SUM(F81:G81)</f>
        <v>67843280.799999997</v>
      </c>
      <c r="L81" s="78"/>
    </row>
    <row r="82" spans="1:12" ht="22.5" x14ac:dyDescent="0.2">
      <c r="A82" s="11"/>
      <c r="B82" s="14" t="s">
        <v>638</v>
      </c>
      <c r="C82" s="6" t="s">
        <v>639</v>
      </c>
      <c r="D82" s="6" t="s">
        <v>661</v>
      </c>
      <c r="E82" s="6" t="s">
        <v>491</v>
      </c>
      <c r="F82" s="3">
        <f>'РЕБ 3, септембар 19'!J992</f>
        <v>42000000</v>
      </c>
      <c r="G82" s="3">
        <f>'РЕБ 3, септембар 19'!K992</f>
        <v>0</v>
      </c>
      <c r="H82" s="3">
        <f>'РЕБ 3, септембар 19'!L992</f>
        <v>42000000</v>
      </c>
    </row>
    <row r="83" spans="1:12" ht="22.5" x14ac:dyDescent="0.2">
      <c r="A83" s="11"/>
      <c r="B83" s="14" t="s">
        <v>492</v>
      </c>
      <c r="C83" s="6" t="str">
        <f>'РЕБ 3, септембар 19'!I980</f>
        <v>Управљање отпадним водама</v>
      </c>
      <c r="D83" s="6" t="s">
        <v>493</v>
      </c>
      <c r="E83" s="6" t="s">
        <v>494</v>
      </c>
      <c r="F83" s="3">
        <f>'РЕБ 3, септембар 19'!J984</f>
        <v>8484240</v>
      </c>
      <c r="G83" s="3">
        <f>'РЕБ 3, септембар 19'!K984</f>
        <v>0</v>
      </c>
      <c r="H83" s="3">
        <f t="shared" ref="H83" si="4">SUM(F83:G83)</f>
        <v>8484240</v>
      </c>
    </row>
    <row r="84" spans="1:12" ht="36.75" customHeight="1" x14ac:dyDescent="0.2">
      <c r="A84" s="11"/>
      <c r="B84" s="14" t="s">
        <v>461</v>
      </c>
      <c r="C84" s="6" t="str">
        <f>'РЕБ 3, септембар 19'!I997</f>
        <v>Управљање комуналним отпадом</v>
      </c>
      <c r="D84" s="6" t="s">
        <v>495</v>
      </c>
      <c r="E84" s="6" t="s">
        <v>579</v>
      </c>
      <c r="F84" s="3">
        <f>'РЕБ 3, септембар 19'!J1002</f>
        <v>8707750</v>
      </c>
      <c r="G84" s="3">
        <f>'РЕБ 3, септембар 19'!K1002</f>
        <v>0</v>
      </c>
      <c r="H84" s="3">
        <f>'РЕБ 3, септембар 19'!L1002</f>
        <v>8707750</v>
      </c>
    </row>
    <row r="85" spans="1:12" ht="92.25" customHeight="1" x14ac:dyDescent="0.2">
      <c r="A85" s="11"/>
      <c r="B85" s="14"/>
      <c r="C85" s="6" t="str">
        <f>'РЕБ 3, септембар 19'!I1011</f>
        <v>ПРОЈЕКАТ  - ИЗРАДА ПРОЈЕКТА САНАЦИЈЕ, ЗАТВАРАЊА И РЕКУЛТИВАЦИЈЕ ПОСТОЈЕЋЕ НЕСАНИТАРНЕ ОПШТИНСКЕ ДЕПОНИЈЕ - СМЕТЛИШТА У ИНЂИЈИ</v>
      </c>
      <c r="D85" s="6"/>
      <c r="E85" s="6"/>
      <c r="F85" s="3">
        <f>'РЕБ 3, септембар 19'!J1013</f>
        <v>5760000</v>
      </c>
      <c r="G85" s="3">
        <f>'РЕБ 3, септембар 19'!K1013</f>
        <v>0</v>
      </c>
      <c r="H85" s="3">
        <f>'РЕБ 3, септембар 19'!L1013</f>
        <v>5760000</v>
      </c>
    </row>
    <row r="86" spans="1:12" ht="60.75" customHeight="1" x14ac:dyDescent="0.2">
      <c r="A86" s="11"/>
      <c r="B86" s="14"/>
      <c r="C86" s="6" t="str">
        <f>'РЕБ 3, септембар 19'!I1018</f>
        <v>ПРОЈЕКАТ -  Извођење радова на изградњи атмосферске канализације у улицама Иве Андрића и Расадничка у Бешки</v>
      </c>
      <c r="D86" s="6"/>
      <c r="E86" s="6"/>
      <c r="F86" s="3">
        <f>'РЕБ 3, септембар 19'!J1021</f>
        <v>1000000</v>
      </c>
      <c r="G86" s="3">
        <f>'РЕБ 3, септембар 19'!K1021</f>
        <v>0</v>
      </c>
      <c r="H86" s="3">
        <f>'РЕБ 3, септембар 19'!L1021</f>
        <v>1000000</v>
      </c>
    </row>
    <row r="87" spans="1:12" ht="51.75" customHeight="1" x14ac:dyDescent="0.2">
      <c r="A87" s="11"/>
      <c r="B87" s="14"/>
      <c r="C87" s="6" t="str">
        <f>'РЕБ 3, септембар 19'!I1025</f>
        <v xml:space="preserve">ПРОЈЕКАТ  - Израда Идејног решења одвођења атмосферских вода насељених места Инђија </v>
      </c>
      <c r="D87" s="6"/>
      <c r="E87" s="6"/>
      <c r="F87" s="3">
        <f>'РЕБ 3, септембар 19'!J1026</f>
        <v>1</v>
      </c>
      <c r="G87" s="3">
        <f>'РЕБ 3, септембар 19'!K1026</f>
        <v>0</v>
      </c>
      <c r="H87" s="3">
        <f>'РЕБ 3, септембар 19'!L1026</f>
        <v>1</v>
      </c>
    </row>
    <row r="88" spans="1:12" ht="51.75" customHeight="1" x14ac:dyDescent="0.2">
      <c r="A88" s="11"/>
      <c r="B88" s="14"/>
      <c r="C88" s="6" t="str">
        <f>'РЕБ 3, септембар 19'!I1030</f>
        <v>ПРОЈЕКАТ - Изградња  атмосферске канализације у Војвођанској и улици Соње Маринковић</v>
      </c>
      <c r="D88" s="6"/>
      <c r="E88" s="6"/>
      <c r="F88" s="3">
        <f>'РЕБ 3, септембар 19'!J1035</f>
        <v>2</v>
      </c>
      <c r="G88" s="3">
        <f>'РЕБ 3, септембар 19'!K1035</f>
        <v>0</v>
      </c>
      <c r="H88" s="3">
        <f>'РЕБ 3, септембар 19'!L1035</f>
        <v>2</v>
      </c>
    </row>
    <row r="89" spans="1:12" ht="53.25" customHeight="1" x14ac:dyDescent="0.2">
      <c r="A89" s="11"/>
      <c r="B89" s="14"/>
      <c r="C89" s="6" t="str">
        <f>'РЕБ 3, септембар 19'!I1037</f>
        <v>ПРОЈЕКАТ  - Израда Идејног решења атмосферске канализације насеља Инђија - слив 3</v>
      </c>
      <c r="D89" s="6"/>
      <c r="E89" s="6"/>
      <c r="F89" s="3">
        <f>'РЕБ 3, септембар 19'!J1038</f>
        <v>1</v>
      </c>
      <c r="G89" s="3">
        <f>'РЕБ 3, септембар 19'!K1038</f>
        <v>0</v>
      </c>
      <c r="H89" s="3">
        <f>'РЕБ 3, септембар 19'!L1038</f>
        <v>1</v>
      </c>
    </row>
    <row r="90" spans="1:12" ht="60" customHeight="1" x14ac:dyDescent="0.2">
      <c r="A90" s="11"/>
      <c r="B90" s="14"/>
      <c r="C90" s="6" t="str">
        <f>'РЕБ 3, септембар 19'!I1042</f>
        <v>ПРОЈЕКАТ  - Израда пројектне документације атмосферске канализације у улици Занатлијска трећи део у Инђији</v>
      </c>
      <c r="D90" s="6"/>
      <c r="E90" s="6"/>
      <c r="F90" s="3">
        <f>'РЕБ 3, септембар 19'!J1043</f>
        <v>1</v>
      </c>
      <c r="G90" s="3">
        <f>'РЕБ 3, септембар 19'!K1043</f>
        <v>0</v>
      </c>
      <c r="H90" s="3">
        <f>'РЕБ 3, септембар 19'!L1043</f>
        <v>1</v>
      </c>
    </row>
    <row r="91" spans="1:12" ht="60" customHeight="1" x14ac:dyDescent="0.2">
      <c r="A91" s="11"/>
      <c r="B91" s="14"/>
      <c r="C91" s="6" t="str">
        <f>'РЕБ 3, септембар 19'!I1047</f>
        <v>ПРОЈЕКАТ -Израда пројектне документације атмосферске канализације у улици Михаила Пупина  у Инђији</v>
      </c>
      <c r="D91" s="6"/>
      <c r="E91" s="6"/>
      <c r="F91" s="3">
        <f>'РЕБ 3, септембар 19'!J1048</f>
        <v>1</v>
      </c>
      <c r="G91" s="3">
        <f>'РЕБ 3, септембар 19'!K1048</f>
        <v>0</v>
      </c>
      <c r="H91" s="3">
        <f>'РЕБ 3, септембар 19'!L1048</f>
        <v>1</v>
      </c>
    </row>
    <row r="92" spans="1:12" ht="69" customHeight="1" x14ac:dyDescent="0.2">
      <c r="A92" s="11"/>
      <c r="B92" s="14"/>
      <c r="C92" s="6" t="str">
        <f>'РЕБ 3, септембар 19'!I1005</f>
        <v>ПРОЈЕКАТ  - АКТИВНОСТ УКЛАЊАЊА ДИВЉИХ ДЕПОНИЈА С ПОЉОПРИВРЕДНОГ ЗЕМЉИШТА</v>
      </c>
      <c r="D92" s="6"/>
      <c r="E92" s="6"/>
      <c r="F92" s="3">
        <f>'РЕБ 3, септембар 19'!J1007</f>
        <v>1891283.8</v>
      </c>
      <c r="G92" s="3">
        <f>'РЕБ 3, септембар 19'!K1007</f>
        <v>0</v>
      </c>
      <c r="H92" s="3">
        <f>'РЕБ 3, септембар 19'!L1007</f>
        <v>1891283.8</v>
      </c>
    </row>
    <row r="93" spans="1:12" ht="67.5" customHeight="1" x14ac:dyDescent="0.2">
      <c r="A93" s="11"/>
      <c r="B93" s="14"/>
      <c r="C93" s="6" t="str">
        <f>'РЕБ 3, септембар 19'!I1052</f>
        <v>ПРОЈЕКАТ  -  Израда претходне студије оправданости за пречишћавање отпадних вода у индустријској зони у Инђији</v>
      </c>
      <c r="D93" s="6"/>
      <c r="E93" s="6"/>
      <c r="F93" s="3">
        <f>'РЕБ 3, септембар 19'!J1053</f>
        <v>1</v>
      </c>
      <c r="G93" s="3">
        <f>'РЕБ 3, септембар 19'!K1053</f>
        <v>0</v>
      </c>
      <c r="H93" s="3">
        <f>'РЕБ 3, септембар 19'!L1053</f>
        <v>1</v>
      </c>
    </row>
    <row r="94" spans="1:12" ht="45" x14ac:dyDescent="0.2">
      <c r="A94" s="31" t="s">
        <v>251</v>
      </c>
      <c r="B94" s="31"/>
      <c r="C94" s="32" t="s">
        <v>496</v>
      </c>
      <c r="D94" s="32" t="s">
        <v>497</v>
      </c>
      <c r="E94" s="32" t="s">
        <v>498</v>
      </c>
      <c r="F94" s="33">
        <f>SUM(F95:F174)</f>
        <v>1662640914.01</v>
      </c>
      <c r="G94" s="33">
        <f>SUM(G95:G174)</f>
        <v>0</v>
      </c>
      <c r="H94" s="33">
        <f>SUM(F94:G94)</f>
        <v>1662640914.01</v>
      </c>
      <c r="L94" s="78"/>
    </row>
    <row r="95" spans="1:12" ht="33.75" x14ac:dyDescent="0.2">
      <c r="A95" s="11"/>
      <c r="B95" s="7" t="s">
        <v>252</v>
      </c>
      <c r="C95" s="2" t="str">
        <f>'РЕБ 3, септембар 19'!I1093</f>
        <v>Управљање и одржавање саобраћајне инфраструктуре</v>
      </c>
      <c r="D95" s="2" t="s">
        <v>499</v>
      </c>
      <c r="E95" s="2" t="s">
        <v>500</v>
      </c>
      <c r="F95" s="3">
        <f>'РЕБ 3, септембар 19'!J1098+'РЕБ 3, септембар 19'!J1509+'РЕБ 3, септембар 19'!J1529</f>
        <v>215324807</v>
      </c>
      <c r="G95" s="3">
        <f>'РЕБ 3, септембар 19'!K1098+'РЕБ 3, септембар 19'!K1509+'РЕБ 3, септембар 19'!K1529</f>
        <v>0</v>
      </c>
      <c r="H95" s="3">
        <f>'РЕБ 3, септембар 19'!L1098+'РЕБ 3, септембар 19'!L1509+'РЕБ 3, септембар 19'!L1529</f>
        <v>215324807</v>
      </c>
    </row>
    <row r="96" spans="1:12" ht="22.5" x14ac:dyDescent="0.2">
      <c r="A96" s="7"/>
      <c r="B96" s="7" t="s">
        <v>501</v>
      </c>
      <c r="C96" s="6" t="s">
        <v>502</v>
      </c>
      <c r="D96" s="2" t="s">
        <v>503</v>
      </c>
      <c r="E96" s="2" t="s">
        <v>504</v>
      </c>
      <c r="F96" s="4">
        <f>'РЕБ 3, септембар 19'!J1518</f>
        <v>144000000</v>
      </c>
      <c r="G96" s="4">
        <f>'РЕБ 3, септембар 19'!K1518</f>
        <v>0</v>
      </c>
      <c r="H96" s="4">
        <f>'РЕБ 3, септембар 19'!L1518</f>
        <v>144000000</v>
      </c>
    </row>
    <row r="97" spans="1:8" ht="36.75" customHeight="1" x14ac:dyDescent="0.2">
      <c r="A97" s="7"/>
      <c r="B97" s="7"/>
      <c r="C97" s="6" t="str">
        <f>'РЕБ 3, септембар 19'!I1059</f>
        <v>ПРОЈЕКАТ - Набавка булдожера за потребе ЈП Ингрин</v>
      </c>
      <c r="D97" s="2"/>
      <c r="E97" s="2"/>
      <c r="F97" s="4">
        <f>'РЕБ 3, септембар 19'!J1061</f>
        <v>6000000</v>
      </c>
      <c r="G97" s="4">
        <f>'РЕБ 3, септембар 19'!K1061</f>
        <v>0</v>
      </c>
      <c r="H97" s="4">
        <f>'РЕБ 3, септембар 19'!L1061</f>
        <v>6000000</v>
      </c>
    </row>
    <row r="98" spans="1:8" ht="36.75" customHeight="1" x14ac:dyDescent="0.2">
      <c r="A98" s="7"/>
      <c r="B98" s="7"/>
      <c r="C98" s="6" t="str">
        <f>'РЕБ 3, септембар 19'!I1065</f>
        <v>ПРОЈЕКАТ - Набавка ватрогасног возила</v>
      </c>
      <c r="D98" s="2"/>
      <c r="E98" s="2"/>
      <c r="F98" s="4">
        <f>'РЕБ 3, септембар 19'!J1067</f>
        <v>2</v>
      </c>
      <c r="G98" s="4">
        <f>'РЕБ 3, септембар 19'!K1067</f>
        <v>0</v>
      </c>
      <c r="H98" s="4">
        <f>'РЕБ 3, септембар 19'!L1067</f>
        <v>2</v>
      </c>
    </row>
    <row r="99" spans="1:8" ht="31.5" customHeight="1" x14ac:dyDescent="0.2">
      <c r="A99" s="7"/>
      <c r="B99" s="7"/>
      <c r="C99" s="13" t="str">
        <f>'РЕБ 3, септембар 19'!I1071</f>
        <v>ПРОЈЕКАТ - ВИДЕО НАДЗОР НА РАСКРСНИЦИ</v>
      </c>
      <c r="D99" s="2"/>
      <c r="E99" s="2"/>
      <c r="F99" s="4">
        <f>'РЕБ 3, септембар 19'!J1073</f>
        <v>3500000</v>
      </c>
      <c r="G99" s="4">
        <f>'РЕБ 3, септембар 19'!K1073</f>
        <v>0</v>
      </c>
      <c r="H99" s="4">
        <f>'РЕБ 3, септембар 19'!L1073</f>
        <v>3500000</v>
      </c>
    </row>
    <row r="100" spans="1:8" ht="37.5" customHeight="1" x14ac:dyDescent="0.2">
      <c r="A100" s="7"/>
      <c r="B100" s="7"/>
      <c r="C100" s="13" t="str">
        <f>'РЕБ 3, септембар 19'!I1077</f>
        <v>ПРОЈЕКАТ - ВИДЕО НАДЗОР У ОБРАЗОВНИМ УСТАНОВАМА</v>
      </c>
      <c r="D100" s="2"/>
      <c r="E100" s="2"/>
      <c r="F100" s="4">
        <f>'РЕБ 3, септембар 19'!J1079</f>
        <v>4700000</v>
      </c>
      <c r="G100" s="4">
        <f>'РЕБ 3, септембар 19'!K1079</f>
        <v>0</v>
      </c>
      <c r="H100" s="4">
        <f>'РЕБ 3, септембар 19'!L1079</f>
        <v>4700000</v>
      </c>
    </row>
    <row r="101" spans="1:8" ht="51.75" customHeight="1" x14ac:dyDescent="0.2">
      <c r="A101" s="7"/>
      <c r="B101" s="7"/>
      <c r="C101" s="776" t="str">
        <f>'РЕБ 3, септембар 19'!I1083</f>
        <v>ПРОЈЕКАТ - ВИДЕО НАДЗОР ОД ЈАВНОГ ИНТЕРЕСА ЗА ОПШТИНУ ИНЂИЈА</v>
      </c>
      <c r="D101" s="2"/>
      <c r="E101" s="2"/>
      <c r="F101" s="4">
        <f>'РЕБ 3, септембар 19'!J1086</f>
        <v>6120000</v>
      </c>
      <c r="G101" s="4">
        <f>'РЕБ 3, септембар 19'!K1086</f>
        <v>0</v>
      </c>
      <c r="H101" s="4">
        <f>'РЕБ 3, септембар 19'!L1086</f>
        <v>6120000</v>
      </c>
    </row>
    <row r="102" spans="1:8" ht="55.5" customHeight="1" x14ac:dyDescent="0.2">
      <c r="A102" s="7"/>
      <c r="B102" s="7"/>
      <c r="C102" s="86" t="str">
        <f>'РЕБ 3, септембар 19'!I1102</f>
        <v>ПРОЈЕКАТ - Израда пројектне документације и реконструкција  Трга Слободе у центру Инђије (фонтана)</v>
      </c>
      <c r="D102" s="2"/>
      <c r="E102" s="2"/>
      <c r="F102" s="4">
        <f>'РЕБ 3, септембар 19'!J1106</f>
        <v>79920000</v>
      </c>
      <c r="G102" s="4">
        <f>'РЕБ 3, септембар 19'!K1106</f>
        <v>0</v>
      </c>
      <c r="H102" s="4">
        <f>'РЕБ 3, септембар 19'!L1106</f>
        <v>79920000</v>
      </c>
    </row>
    <row r="103" spans="1:8" ht="48" customHeight="1" x14ac:dyDescent="0.2">
      <c r="A103" s="7"/>
      <c r="B103" s="7"/>
      <c r="C103" s="6" t="str">
        <f>'РЕБ 3, септембар 19'!I1108</f>
        <v>ПРОЈЕКАТ - Израда пројектне документације и изградња пешачке стазе до Лесног профила</v>
      </c>
      <c r="D103" s="2"/>
      <c r="E103" s="2"/>
      <c r="F103" s="4">
        <f>'РЕБ 3, септембар 19'!J1112</f>
        <v>2</v>
      </c>
      <c r="G103" s="4">
        <f>'РЕБ 3, септембар 19'!K1112</f>
        <v>0</v>
      </c>
      <c r="H103" s="4">
        <f>'РЕБ 3, септембар 19'!L1112</f>
        <v>2</v>
      </c>
    </row>
    <row r="104" spans="1:8" ht="70.5" customHeight="1" x14ac:dyDescent="0.2">
      <c r="A104" s="7"/>
      <c r="B104" s="7"/>
      <c r="C104" s="6" t="str">
        <f>'РЕБ 3, септембар 19'!I1114</f>
        <v>ПРОЈЕКАТ  - Израда пројектне документације и изградња упарених аутобуских стајалишта у Инђији, у улици Цара Душана</v>
      </c>
      <c r="D104" s="2"/>
      <c r="E104" s="2"/>
      <c r="F104" s="4">
        <f>'РЕБ 3, септембар 19'!J1117</f>
        <v>3591606.84</v>
      </c>
      <c r="G104" s="4">
        <f>'РЕБ 3, септембар 19'!K1117</f>
        <v>0</v>
      </c>
      <c r="H104" s="4">
        <f>'РЕБ 3, септембар 19'!L1117</f>
        <v>3591606.84</v>
      </c>
    </row>
    <row r="105" spans="1:8" ht="51" customHeight="1" x14ac:dyDescent="0.2">
      <c r="A105" s="7"/>
      <c r="B105" s="7"/>
      <c r="C105" s="92" t="str">
        <f>'РЕБ 3, септембар 19'!I1119</f>
        <v>ПРОЈЕКАТ - Израда и монтажа надстрешница за аутобуска стајалишта на територији општине Инђија</v>
      </c>
      <c r="D105" s="2"/>
      <c r="E105" s="2"/>
      <c r="F105" s="4">
        <f>'РЕБ 3, септембар 19'!J1122</f>
        <v>10200000</v>
      </c>
      <c r="G105" s="4">
        <f>'РЕБ 3, септембар 19'!K1122</f>
        <v>0</v>
      </c>
      <c r="H105" s="4">
        <f>'РЕБ 3, септембар 19'!L1122</f>
        <v>10200000</v>
      </c>
    </row>
    <row r="106" spans="1:8" ht="84" customHeight="1" x14ac:dyDescent="0.2">
      <c r="A106" s="7"/>
      <c r="B106" s="7"/>
      <c r="C106" s="92" t="str">
        <f>'РЕБ 3, септембар 19'!I1124</f>
        <v>ПРОЈЕКАТ  -  Израда пројектне документације и изградња бициклистичких и пешачких стаза дуж државног пута IIА-126 у Инђији - од Гумапласта до Оутлета</v>
      </c>
      <c r="D106" s="2"/>
      <c r="E106" s="2"/>
      <c r="F106" s="4">
        <f>'РЕБ 3, септембар 19'!J1127</f>
        <v>1000</v>
      </c>
      <c r="G106" s="4">
        <f>'РЕБ 3, септембар 19'!K1127</f>
        <v>0</v>
      </c>
      <c r="H106" s="4">
        <f>'РЕБ 3, септембар 19'!L1127</f>
        <v>1000</v>
      </c>
    </row>
    <row r="107" spans="1:8" ht="76.5" customHeight="1" x14ac:dyDescent="0.2">
      <c r="A107" s="7"/>
      <c r="B107" s="7"/>
      <c r="C107" s="6" t="str">
        <f>'РЕБ 3, септембар 19'!I1129</f>
        <v>ПРОЈЕКАТ  -  Извођење радова  државног пута II реда -126 - лево скретање за Гумапласт</v>
      </c>
      <c r="D107" s="2"/>
      <c r="E107" s="2"/>
      <c r="F107" s="4">
        <f>'РЕБ 3, септембар 19'!J1132</f>
        <v>1</v>
      </c>
      <c r="G107" s="4">
        <f>'РЕБ 3, септембар 19'!K1132</f>
        <v>0</v>
      </c>
      <c r="H107" s="4">
        <f>'РЕБ 3, септембар 19'!L1132</f>
        <v>1</v>
      </c>
    </row>
    <row r="108" spans="1:8" ht="48.75" customHeight="1" x14ac:dyDescent="0.2">
      <c r="A108" s="7"/>
      <c r="B108" s="7"/>
      <c r="C108" s="6" t="str">
        <f>'РЕБ 3, септембар 19'!I1134</f>
        <v>ПРОЈЕКАТ  - Реконструкција пута Л18 Нови Сланкамен - Сурдук</v>
      </c>
      <c r="D108" s="2"/>
      <c r="E108" s="2"/>
      <c r="F108" s="4">
        <f>'РЕБ 3, септембар 19'!J1138</f>
        <v>2</v>
      </c>
      <c r="G108" s="4">
        <f>'РЕБ 3, септембар 19'!K1138</f>
        <v>0</v>
      </c>
      <c r="H108" s="4">
        <f>'РЕБ 3, септембар 19'!L1138</f>
        <v>2</v>
      </c>
    </row>
    <row r="109" spans="1:8" ht="58.5" customHeight="1" x14ac:dyDescent="0.2">
      <c r="A109" s="7"/>
      <c r="B109" s="7"/>
      <c r="C109" s="6" t="str">
        <f>'РЕБ 3, септембар 19'!I1140</f>
        <v>ПРОЈЕКАТ  - Израда Плана техничке регулације саобраћаја за насељена места општине Инђија</v>
      </c>
      <c r="D109" s="2"/>
      <c r="E109" s="2"/>
      <c r="F109" s="4">
        <f>'РЕБ 3, септембар 19'!J1143</f>
        <v>4000000</v>
      </c>
      <c r="G109" s="4">
        <f>'РЕБ 3, септембар 19'!K1143</f>
        <v>0</v>
      </c>
      <c r="H109" s="4">
        <f>'РЕБ 3, септембар 19'!L1143</f>
        <v>4000000</v>
      </c>
    </row>
    <row r="110" spans="1:8" ht="60" customHeight="1" x14ac:dyDescent="0.2">
      <c r="A110" s="7"/>
      <c r="B110" s="7"/>
      <c r="C110" s="6" t="str">
        <f>'РЕБ 3, септембар 19'!I1145</f>
        <v>ПРОЈЕКАТ  - Израда Плана превентивних мера о повременим и привременим градилиштима</v>
      </c>
      <c r="D110" s="2"/>
      <c r="E110" s="2"/>
      <c r="F110" s="4">
        <f>'РЕБ 3, септембар 19'!J1148</f>
        <v>600000</v>
      </c>
      <c r="G110" s="4">
        <f>'РЕБ 3, септембар 19'!K1148</f>
        <v>0</v>
      </c>
      <c r="H110" s="4">
        <f>'РЕБ 3, септембар 19'!L1148</f>
        <v>600000</v>
      </c>
    </row>
    <row r="111" spans="1:8" ht="85.5" customHeight="1" x14ac:dyDescent="0.2">
      <c r="A111" s="7"/>
      <c r="B111" s="7"/>
      <c r="C111" s="6" t="str">
        <f>'РЕБ 3, септембар 19'!I1150</f>
        <v>ПРОЈЕКАТ - Израда пројектне документације упарених аутобуских стајалишта са нишама, у коридору државног пута  у улици Цара Душана у Марадику</v>
      </c>
      <c r="D111" s="2"/>
      <c r="E111" s="2"/>
      <c r="F111" s="4">
        <f>'РЕБ 3, септембар 19'!J1153</f>
        <v>1</v>
      </c>
      <c r="G111" s="4">
        <f>'РЕБ 3, септембар 19'!K1153</f>
        <v>0</v>
      </c>
      <c r="H111" s="4">
        <f>'РЕБ 3, септембар 19'!L1153</f>
        <v>1</v>
      </c>
    </row>
    <row r="112" spans="1:8" ht="62.25" customHeight="1" x14ac:dyDescent="0.2">
      <c r="A112" s="7"/>
      <c r="B112" s="7"/>
      <c r="C112" s="6" t="str">
        <f>'РЕБ 3, септембар 19'!I1155</f>
        <v>ПРОЈЕКАТ - Израда пројектне документације за изградњу кружног тока у центру Бешке</v>
      </c>
      <c r="D112" s="2"/>
      <c r="E112" s="2"/>
      <c r="F112" s="4">
        <f>'РЕБ 3, септембар 19'!J1158</f>
        <v>1</v>
      </c>
      <c r="G112" s="4">
        <f>'РЕБ 3, септембар 19'!K1158</f>
        <v>0</v>
      </c>
      <c r="H112" s="4">
        <f>'РЕБ 3, септембар 19'!L1158</f>
        <v>1</v>
      </c>
    </row>
    <row r="113" spans="1:8" ht="85.5" customHeight="1" x14ac:dyDescent="0.2">
      <c r="A113" s="7"/>
      <c r="B113" s="7"/>
      <c r="C113" s="6" t="str">
        <f>'РЕБ 3, септембар 19'!I1160</f>
        <v>ПРОЈЕКАТ - Израда пројектне документације за изградњу кружног тока у Новом Сланкамену - раскрсница улица Цара Душана, Фрушкогорска и Дунавска</v>
      </c>
      <c r="D113" s="2"/>
      <c r="E113" s="2"/>
      <c r="F113" s="4">
        <f>'РЕБ 3, септембар 19'!J1163</f>
        <v>1</v>
      </c>
      <c r="G113" s="4">
        <f>'РЕБ 3, септембар 19'!K1163</f>
        <v>0</v>
      </c>
      <c r="H113" s="4">
        <f>'РЕБ 3, септембар 19'!L1163</f>
        <v>1</v>
      </c>
    </row>
    <row r="114" spans="1:8" ht="48.75" customHeight="1" x14ac:dyDescent="0.2">
      <c r="A114" s="7"/>
      <c r="B114" s="7"/>
      <c r="C114" s="93" t="str">
        <f>'РЕБ 3, септембар 19'!I1165</f>
        <v>ПРОЈЕКАТ - Рехабилитација улице Краља Петра првог у  Бешки</v>
      </c>
      <c r="D114" s="2"/>
      <c r="E114" s="2"/>
      <c r="F114" s="4">
        <f>'РЕБ 3, септембар 19'!J1170</f>
        <v>56838924.399999999</v>
      </c>
      <c r="G114" s="4">
        <f>'РЕБ 3, септембар 19'!K1170</f>
        <v>0</v>
      </c>
      <c r="H114" s="4">
        <f>'РЕБ 3, септембар 19'!L1170</f>
        <v>56838924.399999999</v>
      </c>
    </row>
    <row r="115" spans="1:8" ht="48.75" customHeight="1" x14ac:dyDescent="0.2">
      <c r="A115" s="7"/>
      <c r="B115" s="7"/>
      <c r="C115" s="88" t="str">
        <f>'РЕБ 3, септембар 19'!I1172</f>
        <v>ПРОЈЕКАТ - Израда техничке документације саобраћајница у индустријској зони Бешка</v>
      </c>
      <c r="D115" s="2"/>
      <c r="E115" s="2"/>
      <c r="F115" s="4">
        <f>'РЕБ 3, септембар 19'!J1175</f>
        <v>360000</v>
      </c>
      <c r="G115" s="4">
        <f>'РЕБ 3, септембар 19'!K1175</f>
        <v>0</v>
      </c>
      <c r="H115" s="4">
        <f>'РЕБ 3, септембар 19'!L1175</f>
        <v>360000</v>
      </c>
    </row>
    <row r="116" spans="1:8" ht="48.75" customHeight="1" x14ac:dyDescent="0.2">
      <c r="A116" s="7"/>
      <c r="B116" s="7"/>
      <c r="C116" s="88" t="str">
        <f>'РЕБ 3, септембар 19'!I1177</f>
        <v>ПРОЈЕКАТ  - Израда пројектне документације и уређење ужег дела центра насеља  Крчедин</v>
      </c>
      <c r="D116" s="2"/>
      <c r="E116" s="2"/>
      <c r="F116" s="4">
        <f>'РЕБ 3, септембар 19'!J1181</f>
        <v>16150000</v>
      </c>
      <c r="G116" s="4">
        <f>'РЕБ 3, септембар 19'!K1181</f>
        <v>0</v>
      </c>
      <c r="H116" s="4">
        <f>'РЕБ 3, септембар 19'!L1181</f>
        <v>16150000</v>
      </c>
    </row>
    <row r="117" spans="1:8" ht="61.5" customHeight="1" x14ac:dyDescent="0.2">
      <c r="A117" s="7"/>
      <c r="B117" s="7"/>
      <c r="C117" s="88" t="str">
        <f>'РЕБ 3, септембар 19'!I1183</f>
        <v>ПРОЈЕКАТ  - Израда пројектне документације, изградња и реконструкција тротоара у насељу  Нови Карловци</v>
      </c>
      <c r="D117" s="2"/>
      <c r="E117" s="2"/>
      <c r="F117" s="4">
        <f>'РЕБ 3, септембар 19'!J1187</f>
        <v>20940000</v>
      </c>
      <c r="G117" s="4">
        <f>'РЕБ 3, септембар 19'!K1187</f>
        <v>0</v>
      </c>
      <c r="H117" s="4">
        <f>'РЕБ 3, септембар 19'!L1187</f>
        <v>20940000</v>
      </c>
    </row>
    <row r="118" spans="1:8" ht="80.25" customHeight="1" x14ac:dyDescent="0.2">
      <c r="A118" s="7"/>
      <c r="B118" s="7"/>
      <c r="C118" s="6" t="str">
        <f>'РЕБ 3, септембар 19'!I1189</f>
        <v>ПРОЈЕКАТ  - Израда пројектне документације за  реконструкцију раскрснице улица Лукачева (ДП другог реда), Главне и Челенске у насељу  Нови Карловци</v>
      </c>
      <c r="D118" s="2"/>
      <c r="E118" s="2"/>
      <c r="F118" s="4">
        <f>'РЕБ 3, септембар 19'!J1192</f>
        <v>1</v>
      </c>
      <c r="G118" s="4">
        <f>'РЕБ 3, септембар 19'!K1192</f>
        <v>0</v>
      </c>
      <c r="H118" s="4">
        <f>'РЕБ 3, септембар 19'!L1192</f>
        <v>1</v>
      </c>
    </row>
    <row r="119" spans="1:8" ht="75.75" customHeight="1" x14ac:dyDescent="0.2">
      <c r="A119" s="7"/>
      <c r="B119" s="7"/>
      <c r="C119" s="92" t="str">
        <f>'РЕБ 3, септембар 19'!I1194</f>
        <v>ПРОЈЕКАТ  - Израда пројектне документације и  реконструкција пута од Виле "Станковић" у Чортановцима до Дунава</v>
      </c>
      <c r="D119" s="2"/>
      <c r="E119" s="2"/>
      <c r="F119" s="4">
        <f>'РЕБ 3, септембар 19'!J1198</f>
        <v>15500000</v>
      </c>
      <c r="G119" s="4">
        <f>'РЕБ 3, септембар 19'!K1198</f>
        <v>0</v>
      </c>
      <c r="H119" s="4">
        <f>'РЕБ 3, септембар 19'!L1198</f>
        <v>15500000</v>
      </c>
    </row>
    <row r="120" spans="1:8" ht="138.75" customHeight="1" x14ac:dyDescent="0.2">
      <c r="A120" s="7"/>
      <c r="B120" s="7"/>
      <c r="C120" s="92" t="str">
        <f>'РЕБ 3, септембар 19'!I1200</f>
        <v>ПРОЈЕКАТ - Реконструкцију слободног профила у постојећој регулацији дела улице Цара Душана  у насељу Нови Сланкамен,  деоница раскрснице са улицом Вука  Караџића до раскрснице са улицом Светосавском</v>
      </c>
      <c r="D120" s="2"/>
      <c r="E120" s="2"/>
      <c r="F120" s="4">
        <f>'РЕБ 3, септембар 19'!J1204</f>
        <v>31557364.879999999</v>
      </c>
      <c r="G120" s="4">
        <f>'РЕБ 3, септембар 19'!K1204</f>
        <v>0</v>
      </c>
      <c r="H120" s="4">
        <f>'РЕБ 3, септембар 19'!L1204</f>
        <v>31557364.879999999</v>
      </c>
    </row>
    <row r="121" spans="1:8" ht="90" customHeight="1" x14ac:dyDescent="0.2">
      <c r="A121" s="7"/>
      <c r="B121" s="7"/>
      <c r="C121" s="6" t="str">
        <f>'РЕБ 3, септембар 19'!I1206</f>
        <v>ПРОЈЕКАТ - Израда пројектне документације и изградња пешачке стазе у улици Цара Душана у Новом Сланкамену - лева страна из правца Инђије</v>
      </c>
      <c r="D121" s="2"/>
      <c r="E121" s="2"/>
      <c r="F121" s="4">
        <f>'РЕБ 3, септембар 19'!J1209</f>
        <v>2060000</v>
      </c>
      <c r="G121" s="4">
        <f>'РЕБ 3, септембар 19'!K1209</f>
        <v>0</v>
      </c>
      <c r="H121" s="4">
        <f>'РЕБ 3, септембар 19'!L1209</f>
        <v>2060000</v>
      </c>
    </row>
    <row r="122" spans="1:8" ht="65.25" customHeight="1" x14ac:dyDescent="0.2">
      <c r="A122" s="7"/>
      <c r="B122" s="7"/>
      <c r="C122" s="92" t="str">
        <f>'РЕБ 3, септембар 19'!I1212</f>
        <v>ПРОЈЕКАТ - Израда пројектне документације и изградња аутобуских стајалишта у улици Цара Душана у Крчедину</v>
      </c>
      <c r="D122" s="2"/>
      <c r="E122" s="2"/>
      <c r="F122" s="4">
        <f>'РЕБ 3, септембар 19'!J1215</f>
        <v>1</v>
      </c>
      <c r="G122" s="4">
        <f>'РЕБ 3, септембар 19'!K1215</f>
        <v>0</v>
      </c>
      <c r="H122" s="4">
        <f>'РЕБ 3, септембар 19'!L1215</f>
        <v>1</v>
      </c>
    </row>
    <row r="123" spans="1:8" ht="57" customHeight="1" x14ac:dyDescent="0.2">
      <c r="A123" s="7"/>
      <c r="B123" s="7"/>
      <c r="C123" s="6" t="str">
        <f>'РЕБ 3, септембар 19'!I1217</f>
        <v>ПРОЈЕКАТ  - Израда пројектне документације проширења коловоза у улици Соње Маринковић у Инђији</v>
      </c>
      <c r="D123" s="2"/>
      <c r="E123" s="2"/>
      <c r="F123" s="4">
        <f>'РЕБ 3, септембар 19'!J1220</f>
        <v>1</v>
      </c>
      <c r="G123" s="4">
        <f>'РЕБ 3, септембар 19'!K1220</f>
        <v>0</v>
      </c>
      <c r="H123" s="4">
        <f>'РЕБ 3, септембар 19'!L1220</f>
        <v>1</v>
      </c>
    </row>
    <row r="124" spans="1:8" ht="55.5" customHeight="1" x14ac:dyDescent="0.2">
      <c r="A124" s="7"/>
      <c r="B124" s="7"/>
      <c r="C124" s="6" t="str">
        <f>'РЕБ 3, септембар 19'!I1222</f>
        <v>ПРОЈЕКАТ - Израда пројектне документације проширења коловоза у улици Фрушкогорска у Новом Сланкамену</v>
      </c>
      <c r="D124" s="2"/>
      <c r="E124" s="2"/>
      <c r="F124" s="4">
        <f>'РЕБ 3, септембар 19'!J1225</f>
        <v>1</v>
      </c>
      <c r="G124" s="4">
        <f>'РЕБ 3, септембар 19'!K1225</f>
        <v>0</v>
      </c>
      <c r="H124" s="4">
        <f>'РЕБ 3, септембар 19'!L1225</f>
        <v>1</v>
      </c>
    </row>
    <row r="125" spans="1:8" ht="59.25" customHeight="1" x14ac:dyDescent="0.2">
      <c r="A125" s="7"/>
      <c r="B125" s="7"/>
      <c r="C125" s="15" t="str">
        <f>'РЕБ 3, септембар 19'!I1227</f>
        <v>ПРОЈЕКАТ - Израда пројектне документације марине у Старом Сланкамену</v>
      </c>
      <c r="D125" s="2"/>
      <c r="E125" s="2"/>
      <c r="F125" s="4">
        <f>'РЕБ 3, септембар 19'!J1230</f>
        <v>1</v>
      </c>
      <c r="G125" s="4">
        <f>'РЕБ 3, септембар 19'!K1230</f>
        <v>0</v>
      </c>
      <c r="H125" s="4">
        <f>'РЕБ 3, септембар 19'!L1230</f>
        <v>1</v>
      </c>
    </row>
    <row r="126" spans="1:8" ht="80.25" customHeight="1" x14ac:dyDescent="0.2">
      <c r="A126" s="7"/>
      <c r="B126" s="7"/>
      <c r="C126" s="6" t="str">
        <f>'РЕБ 3, септембар 19'!I1232</f>
        <v>ПРОЈЕКАТ - Израда пројектне документације за изградњу пешачких семафора на државном путу II А  - 100 кроз насељено место Инђија</v>
      </c>
      <c r="D126" s="2"/>
      <c r="E126" s="2"/>
      <c r="F126" s="4">
        <f>'РЕБ 3, септембар 19'!J1235</f>
        <v>1</v>
      </c>
      <c r="G126" s="4">
        <f>'РЕБ 3, септембар 19'!K1235</f>
        <v>0</v>
      </c>
      <c r="H126" s="4">
        <f>'РЕБ 3, септембар 19'!L1235</f>
        <v>1</v>
      </c>
    </row>
    <row r="127" spans="1:8" ht="50.25" customHeight="1" x14ac:dyDescent="0.2">
      <c r="A127" s="7"/>
      <c r="B127" s="7"/>
      <c r="C127" s="6" t="str">
        <f>'РЕБ 3, септембар 19'!I1237</f>
        <v>ПРОЈЕКАТ - Израда пројеката техничке  регулације саобраћаја за време извођења радова</v>
      </c>
      <c r="D127" s="2"/>
      <c r="E127" s="2"/>
      <c r="F127" s="4">
        <f>'РЕБ 3, септембар 19'!J1240</f>
        <v>1</v>
      </c>
      <c r="G127" s="4">
        <f>'РЕБ 3, септембар 19'!K1240</f>
        <v>0</v>
      </c>
      <c r="H127" s="4">
        <f>'РЕБ 3, септембар 19'!L1240</f>
        <v>1</v>
      </c>
    </row>
    <row r="128" spans="1:8" ht="96.75" customHeight="1" x14ac:dyDescent="0.2">
      <c r="A128" s="7"/>
      <c r="B128" s="7"/>
      <c r="C128" s="6" t="str">
        <f>'РЕБ 3, септембар 19'!I1242</f>
        <v>ПРОЈЕКАТ  - Израда пројектне документације за изградњу пешачко бициклистичке стазе од Инђије до Јарковаца дуж пута Л-22 са јавном расветом</v>
      </c>
      <c r="D128" s="2"/>
      <c r="E128" s="2"/>
      <c r="F128" s="4">
        <f>'РЕБ 3, септембар 19'!J1245</f>
        <v>1</v>
      </c>
      <c r="G128" s="4">
        <f>'РЕБ 3, септембар 19'!K1245</f>
        <v>0</v>
      </c>
      <c r="H128" s="4">
        <f>'РЕБ 3, септембар 19'!L1245</f>
        <v>1</v>
      </c>
    </row>
    <row r="129" spans="1:8" ht="51.75" customHeight="1" x14ac:dyDescent="0.2">
      <c r="A129" s="7"/>
      <c r="B129" s="7"/>
      <c r="C129" s="6" t="str">
        <f>'РЕБ 3, септембар 19'!I1247</f>
        <v>ПРОЈЕКАТ  - Набавка опреме за посебна паркиралишта</v>
      </c>
      <c r="D129" s="2"/>
      <c r="E129" s="2"/>
      <c r="F129" s="4">
        <f>'РЕБ 3, септембар 19'!J1250</f>
        <v>500000</v>
      </c>
      <c r="G129" s="4">
        <f>'РЕБ 3, септембар 19'!K1250</f>
        <v>0</v>
      </c>
      <c r="H129" s="4">
        <f>'РЕБ 3, септембар 19'!L1250</f>
        <v>500000</v>
      </c>
    </row>
    <row r="130" spans="1:8" ht="81.75" customHeight="1" x14ac:dyDescent="0.2">
      <c r="A130" s="7"/>
      <c r="B130" s="7"/>
      <c r="C130" s="6" t="str">
        <f>'РЕБ 3, септембар 19'!I1252</f>
        <v>ПРОЈЕКАТ- Стручни надзор над изградњом сервисне саобраћајнице у североисточној радној зони деоница од "Монуса" до "Гумапласта"</v>
      </c>
      <c r="D130" s="2"/>
      <c r="E130" s="2"/>
      <c r="F130" s="4">
        <f>'РЕБ 3, септембар 19'!J1255</f>
        <v>1</v>
      </c>
      <c r="G130" s="4">
        <f>'РЕБ 3, септембар 19'!K1255</f>
        <v>0</v>
      </c>
      <c r="H130" s="4">
        <f>'РЕБ 3, септембар 19'!L1255</f>
        <v>1</v>
      </c>
    </row>
    <row r="131" spans="1:8" ht="69.75" customHeight="1" x14ac:dyDescent="0.2">
      <c r="A131" s="7"/>
      <c r="B131" s="7"/>
      <c r="C131" s="6" t="str">
        <f>'РЕБ 3, септембар 19'!I1257</f>
        <v>ПРОЈЕКАТ - Израда пројектне документације и изградња пешачке стазе у целој дужини у улици Н. Тесле у Љукову</v>
      </c>
      <c r="D131" s="2"/>
      <c r="E131" s="2"/>
      <c r="F131" s="4">
        <f>'РЕБ 3, септембар 19'!J1260</f>
        <v>1</v>
      </c>
      <c r="G131" s="4">
        <f>'РЕБ 3, септембар 19'!K1260</f>
        <v>0</v>
      </c>
      <c r="H131" s="4">
        <f>'РЕБ 3, септембар 19'!L1260</f>
        <v>1</v>
      </c>
    </row>
    <row r="132" spans="1:8" ht="69.75" customHeight="1" x14ac:dyDescent="0.2">
      <c r="A132" s="7"/>
      <c r="B132" s="7"/>
      <c r="C132" s="6" t="str">
        <f>'РЕБ 3, септембар 19'!I1262</f>
        <v>ПРОЈЕКАТ  - Израда пројектне документације и изградња пешачке стазе  у улици 1. Новембра до Н. Тесле у Љукову</v>
      </c>
      <c r="D132" s="2"/>
      <c r="E132" s="2"/>
      <c r="F132" s="4">
        <f>'РЕБ 3, септембар 19'!J1265</f>
        <v>1000</v>
      </c>
      <c r="G132" s="4">
        <f>'РЕБ 3, септембар 19'!K1265</f>
        <v>0</v>
      </c>
      <c r="H132" s="4">
        <f>'РЕБ 3, септембар 19'!L1265</f>
        <v>1000</v>
      </c>
    </row>
    <row r="133" spans="1:8" ht="51" customHeight="1" x14ac:dyDescent="0.2">
      <c r="A133" s="7"/>
      <c r="B133" s="7"/>
      <c r="C133" s="6" t="str">
        <f>'РЕБ 3, септембар 19'!I1267</f>
        <v>ПРОЈЕКАТ  - Рехабилитација коловоза улице 1. Новембра у  Љукову</v>
      </c>
      <c r="D133" s="2"/>
      <c r="E133" s="2"/>
      <c r="F133" s="4">
        <f>'РЕБ 3, септембар 19'!J1272</f>
        <v>55201000</v>
      </c>
      <c r="G133" s="4">
        <f>'РЕБ 3, септембар 19'!K1272</f>
        <v>0</v>
      </c>
      <c r="H133" s="4">
        <f>'РЕБ 3, септембар 19'!L1272</f>
        <v>55201000</v>
      </c>
    </row>
    <row r="134" spans="1:8" ht="58.5" customHeight="1" x14ac:dyDescent="0.2">
      <c r="A134" s="7"/>
      <c r="B134" s="7"/>
      <c r="C134" s="6" t="str">
        <f>'РЕБ 3, септембар 19'!I1274</f>
        <v>ПРОЈЕКАТ - Израда пројектне документације за изградњу паркинга у улици Краља Петра</v>
      </c>
      <c r="D134" s="2"/>
      <c r="E134" s="2"/>
      <c r="F134" s="4">
        <f>'РЕБ 3, септембар 19'!J1277</f>
        <v>500000</v>
      </c>
      <c r="G134" s="4">
        <f>'РЕБ 3, септембар 19'!K1277</f>
        <v>0</v>
      </c>
      <c r="H134" s="4">
        <f>'РЕБ 3, септембар 19'!L1277</f>
        <v>500000</v>
      </c>
    </row>
    <row r="135" spans="1:8" ht="60.75" customHeight="1" x14ac:dyDescent="0.2">
      <c r="A135" s="7"/>
      <c r="B135" s="7"/>
      <c r="C135" s="88" t="str">
        <f>'РЕБ 3, септембар 19'!I1279</f>
        <v>ПРОЈЕКАТ  - Изградња паркинга у улици Краља Петра</v>
      </c>
      <c r="D135" s="2"/>
      <c r="E135" s="2"/>
      <c r="F135" s="4">
        <f>'РЕБ 3, септембар 19'!J1282</f>
        <v>1</v>
      </c>
      <c r="G135" s="4">
        <f>'РЕБ 3, септембар 19'!K1282</f>
        <v>0</v>
      </c>
      <c r="H135" s="4">
        <f>'РЕБ 3, септембар 19'!L1282</f>
        <v>1</v>
      </c>
    </row>
    <row r="136" spans="1:8" ht="48.75" customHeight="1" x14ac:dyDescent="0.2">
      <c r="A136" s="7"/>
      <c r="B136" s="7"/>
      <c r="C136" s="88" t="str">
        <f>'РЕБ 3, септембар 19'!I1284</f>
        <v>ПРОЈЕКАТ - Израда пројектне документације за изградњу паркинга у Блоку 44 у Инђији - Ламела</v>
      </c>
      <c r="D136" s="2"/>
      <c r="E136" s="2"/>
      <c r="F136" s="4">
        <f>'РЕБ 3, септембар 19'!J1285</f>
        <v>600000</v>
      </c>
      <c r="G136" s="4">
        <f>'РЕБ 3, септембар 19'!K1285</f>
        <v>0</v>
      </c>
      <c r="H136" s="4">
        <f>'РЕБ 3, септембар 19'!L1285</f>
        <v>600000</v>
      </c>
    </row>
    <row r="137" spans="1:8" ht="39" customHeight="1" x14ac:dyDescent="0.2">
      <c r="A137" s="7"/>
      <c r="B137" s="7"/>
      <c r="C137" s="6" t="str">
        <f>'РЕБ 3, септембар 19'!I1289</f>
        <v>ПРОЈЕКАТ  - Изградња паркинга у Блоку 44 у Инђији - Ламела</v>
      </c>
      <c r="D137" s="2"/>
      <c r="E137" s="2"/>
      <c r="F137" s="4">
        <f>'РЕБ 3, септембар 19'!J1292</f>
        <v>1</v>
      </c>
      <c r="G137" s="4">
        <f>'РЕБ 3, септембар 19'!K1292</f>
        <v>0</v>
      </c>
      <c r="H137" s="4">
        <f>'РЕБ 3, септембар 19'!L1292</f>
        <v>1</v>
      </c>
    </row>
    <row r="138" spans="1:8" ht="87.75" customHeight="1" x14ac:dyDescent="0.2">
      <c r="A138" s="7"/>
      <c r="B138" s="7"/>
      <c r="C138" s="6" t="str">
        <f>'РЕБ 3, септембар 19'!I1294</f>
        <v>ПРОЈЕКАТ  - Израда техничке документације и извођење радова на изградњи саобраћајнице са пратећом инфраструктуром и јавном расветом у Улици Нова 2 Инђија - прва фаза</v>
      </c>
      <c r="D138" s="2"/>
      <c r="E138" s="2"/>
      <c r="F138" s="4">
        <f>'РЕБ 3, септембар 19'!J1298</f>
        <v>5700000</v>
      </c>
      <c r="G138" s="4">
        <f>'РЕБ 3, септембар 19'!K1298</f>
        <v>0</v>
      </c>
      <c r="H138" s="4">
        <f>'РЕБ 3, септембар 19'!L1298</f>
        <v>5700000</v>
      </c>
    </row>
    <row r="139" spans="1:8" ht="37.5" customHeight="1" x14ac:dyDescent="0.2">
      <c r="A139" s="7"/>
      <c r="B139" s="7"/>
      <c r="C139" s="6" t="str">
        <f>'РЕБ 3, септембар 19'!I1300</f>
        <v>ПРОЈЕКАТ  - Изградња саобраћајнице у Улици Нова 3 -  Блок 44 у Инђији</v>
      </c>
      <c r="D139" s="2"/>
      <c r="E139" s="2"/>
      <c r="F139" s="4">
        <f>'РЕБ 3, септембар 19'!J1303</f>
        <v>1</v>
      </c>
      <c r="G139" s="4">
        <f>'РЕБ 3, септембар 19'!K1303</f>
        <v>0</v>
      </c>
      <c r="H139" s="4">
        <f>'РЕБ 3, септембар 19'!L1303</f>
        <v>1</v>
      </c>
    </row>
    <row r="140" spans="1:8" ht="67.5" customHeight="1" x14ac:dyDescent="0.2">
      <c r="A140" s="7"/>
      <c r="B140" s="7"/>
      <c r="C140" s="6" t="str">
        <f>'РЕБ 3, септембар 19'!I1305</f>
        <v>ПРОЈЕКАТ  - Изградња саобраћајног прикључка  Улице Нове 3 на државни пут другог реда бр. 100 у Инђији</v>
      </c>
      <c r="D140" s="2"/>
      <c r="E140" s="2"/>
      <c r="F140" s="4">
        <f>'РЕБ 3, септембар 19'!J1308</f>
        <v>1</v>
      </c>
      <c r="G140" s="4">
        <f>'РЕБ 3, септембар 19'!K1308</f>
        <v>0</v>
      </c>
      <c r="H140" s="4">
        <f>'РЕБ 3, септембар 19'!L1308</f>
        <v>1</v>
      </c>
    </row>
    <row r="141" spans="1:8" ht="89.25" customHeight="1" x14ac:dyDescent="0.2">
      <c r="A141" s="7"/>
      <c r="B141" s="7"/>
      <c r="C141" s="6" t="str">
        <f>'РЕБ 3, септембар 19'!I1310</f>
        <v>ПРОЈЕКАТ  - Појачано одржавање коловоза ДП другог реда рег. пут број Р-109 од км 10+662,15 до км 10+861,64 са кружном раскрсницом у Инђији (Обилићев венац)</v>
      </c>
      <c r="D141" s="2"/>
      <c r="E141" s="2"/>
      <c r="F141" s="4">
        <f>'РЕБ 3, септембар 19'!J1315</f>
        <v>36100000</v>
      </c>
      <c r="G141" s="4">
        <f>'РЕБ 3, септембар 19'!K1315</f>
        <v>0</v>
      </c>
      <c r="H141" s="4">
        <f>'РЕБ 3, септембар 19'!L1315</f>
        <v>36100000</v>
      </c>
    </row>
    <row r="142" spans="1:8" ht="58.5" customHeight="1" x14ac:dyDescent="0.2">
      <c r="A142" s="7"/>
      <c r="B142" s="7"/>
      <c r="C142" s="88" t="str">
        <f>'РЕБ 3, септембар 19'!I1317</f>
        <v>ПРОЈЕКАТ- Израда пројектне документације и изградња пешачке стазе од градског базена до "Бразде" у Инђији</v>
      </c>
      <c r="D142" s="2"/>
      <c r="E142" s="2"/>
      <c r="F142" s="4">
        <f>'РЕБ 3, септембар 19'!J1321</f>
        <v>6908095.1999999993</v>
      </c>
      <c r="G142" s="4">
        <f>'РЕБ 3, септембар 19'!K1321</f>
        <v>0</v>
      </c>
      <c r="H142" s="4">
        <f>'РЕБ 3, септембар 19'!L1321</f>
        <v>6908095.1999999993</v>
      </c>
    </row>
    <row r="143" spans="1:8" ht="72.75" customHeight="1" x14ac:dyDescent="0.2">
      <c r="A143" s="7"/>
      <c r="B143" s="7"/>
      <c r="C143" s="6" t="str">
        <f>'РЕБ 3, септембар 19'!I1323</f>
        <v>ПРОЈЕКАТ - Санација, поправка и извођење радова на пешачким стазама - тротоарима по насељеним местима општине Инђија</v>
      </c>
      <c r="D143" s="2"/>
      <c r="E143" s="2"/>
      <c r="F143" s="4">
        <f>'РЕБ 3, септембар 19'!J1327</f>
        <v>35700000</v>
      </c>
      <c r="G143" s="4">
        <f>'РЕБ 3, септембар 19'!K1327</f>
        <v>0</v>
      </c>
      <c r="H143" s="4">
        <f>'РЕБ 3, септембар 19'!L1327</f>
        <v>35700000</v>
      </c>
    </row>
    <row r="144" spans="1:8" ht="83.25" customHeight="1" x14ac:dyDescent="0.2">
      <c r="A144" s="7"/>
      <c r="B144" s="7"/>
      <c r="C144" s="6" t="str">
        <f>'РЕБ 3, септембар 19'!I1329</f>
        <v>ПРОЈЕКАТ - Асфалтирање улица по насељеним местима општине Инђија</v>
      </c>
      <c r="D144" s="2"/>
      <c r="E144" s="2"/>
      <c r="F144" s="4">
        <f>'РЕБ 3, септембар 19'!J1334</f>
        <v>551750301.10000002</v>
      </c>
      <c r="G144" s="4">
        <f>'РЕБ 3, септембар 19'!K1334</f>
        <v>0</v>
      </c>
      <c r="H144" s="4">
        <f>'РЕБ 3, септембар 19'!L1334</f>
        <v>551750301.10000002</v>
      </c>
    </row>
    <row r="145" spans="1:8" ht="78.75" customHeight="1" x14ac:dyDescent="0.2">
      <c r="A145" s="7"/>
      <c r="B145" s="7"/>
      <c r="C145" s="6" t="str">
        <f>'РЕБ 3, септембар 19'!I1336</f>
        <v>ПРОЈЕКАТ - Појачано одржавање (рехабилитација) Голубиначке улице у  Инђији</v>
      </c>
      <c r="D145" s="2"/>
      <c r="E145" s="2"/>
      <c r="F145" s="4">
        <f>'РЕБ 3, септембар 19'!J1340</f>
        <v>31585465.420000002</v>
      </c>
      <c r="G145" s="4">
        <f>'РЕБ 3, септембар 19'!K1340</f>
        <v>0</v>
      </c>
      <c r="H145" s="4">
        <f>'РЕБ 3, септембар 19'!L1340</f>
        <v>31585465.420000002</v>
      </c>
    </row>
    <row r="146" spans="1:8" ht="60" customHeight="1" x14ac:dyDescent="0.2">
      <c r="A146" s="7"/>
      <c r="B146" s="7"/>
      <c r="C146" s="6" t="str">
        <f>'РЕБ 3, септембар 19'!I1348</f>
        <v>ПРОЈЕКАТ - Изградња пута Нови Карловци -Крчедин</v>
      </c>
      <c r="D146" s="2"/>
      <c r="E146" s="2"/>
      <c r="F146" s="4">
        <f>'РЕБ 3, септембар 19'!J1352</f>
        <v>2</v>
      </c>
      <c r="G146" s="4">
        <f>'РЕБ 3, септембар 19'!K1352</f>
        <v>0</v>
      </c>
      <c r="H146" s="4">
        <f>'РЕБ 3, септембар 19'!L1352</f>
        <v>2</v>
      </c>
    </row>
    <row r="147" spans="1:8" ht="60" customHeight="1" x14ac:dyDescent="0.2">
      <c r="A147" s="7"/>
      <c r="B147" s="7"/>
      <c r="C147" s="6" t="str">
        <f>'РЕБ 3, септембар 19'!I1342</f>
        <v>ПРОЈЕКАТ - Уређење путева у викенд насељима цементном стабилизацијом</v>
      </c>
      <c r="D147" s="2"/>
      <c r="E147" s="2"/>
      <c r="F147" s="4">
        <f>'РЕБ 3, септембар 19'!J1346</f>
        <v>40200000</v>
      </c>
      <c r="G147" s="4">
        <f>'РЕБ 3, септембар 19'!K1346</f>
        <v>0</v>
      </c>
      <c r="H147" s="4">
        <f>'РЕБ 3, септембар 19'!L1346</f>
        <v>40200000</v>
      </c>
    </row>
    <row r="148" spans="1:8" ht="70.5" customHeight="1" x14ac:dyDescent="0.2">
      <c r="A148" s="7"/>
      <c r="B148" s="7"/>
      <c r="C148" s="6" t="str">
        <f>'РЕБ 3, септембар 19'!I1354</f>
        <v>ПРОЈЕКАТ  - Теренска и лабораторијска испитивања код изградње и асфалтирања путева</v>
      </c>
      <c r="D148" s="2"/>
      <c r="E148" s="2"/>
      <c r="F148" s="4">
        <f>'РЕБ 3, септембар 19'!J1357</f>
        <v>6000000</v>
      </c>
      <c r="G148" s="4">
        <f>'РЕБ 3, септембар 19'!K1357</f>
        <v>0</v>
      </c>
      <c r="H148" s="4">
        <f>'РЕБ 3, септембар 19'!L1357</f>
        <v>6000000</v>
      </c>
    </row>
    <row r="149" spans="1:8" ht="47.25" customHeight="1" x14ac:dyDescent="0.2">
      <c r="A149" s="7"/>
      <c r="B149" s="7"/>
      <c r="C149" s="6" t="str">
        <f>'РЕБ 3, септембар 19'!I1359</f>
        <v>ПРОЈЕКАТ  - Набавка вибро плоча са алатом</v>
      </c>
      <c r="D149" s="2"/>
      <c r="E149" s="2"/>
      <c r="F149" s="4">
        <f>'РЕБ 3, септембар 19'!J1362</f>
        <v>500000</v>
      </c>
      <c r="G149" s="4">
        <f>'РЕБ 3, септембар 19'!K1362</f>
        <v>0</v>
      </c>
      <c r="H149" s="4">
        <f>'РЕБ 3, септембар 19'!L1362</f>
        <v>500000</v>
      </c>
    </row>
    <row r="150" spans="1:8" ht="56.25" customHeight="1" x14ac:dyDescent="0.2">
      <c r="A150" s="7"/>
      <c r="B150" s="7"/>
      <c r="C150" s="92" t="str">
        <f>'РЕБ 3, септембар 19'!I1364</f>
        <v>ПРОЈЕКАТ - Реконструкција пута на деоници Банстол - Хотел Норцев</v>
      </c>
      <c r="D150" s="2"/>
      <c r="E150" s="2"/>
      <c r="F150" s="4">
        <f>'РЕБ 3, септембар 19'!J1368</f>
        <v>154830135.34</v>
      </c>
      <c r="G150" s="4">
        <f>'РЕБ 3, септембар 19'!K1368</f>
        <v>0</v>
      </c>
      <c r="H150" s="4">
        <f>'РЕБ 3, септембар 19'!L1368</f>
        <v>154830135.34</v>
      </c>
    </row>
    <row r="151" spans="1:8" ht="56.25" customHeight="1" x14ac:dyDescent="0.2">
      <c r="A151" s="7"/>
      <c r="B151" s="7"/>
      <c r="C151" s="92" t="str">
        <f>'РЕБ 3, септембар 19'!I1370</f>
        <v xml:space="preserve">ПРОЈЕКАТ  -  Изградња саобраћајнице С2 и фекалне канализације дуж саобраћајнице С3 </v>
      </c>
      <c r="D151" s="2"/>
      <c r="E151" s="2"/>
      <c r="F151" s="4">
        <f>'РЕБ 3, септембар 19'!J1375</f>
        <v>56907774.719999999</v>
      </c>
      <c r="G151" s="4">
        <f>'РЕБ 3, септембар 19'!K1375</f>
        <v>0</v>
      </c>
      <c r="H151" s="4">
        <f>'РЕБ 3, септембар 19'!L1375</f>
        <v>56907774.719999999</v>
      </c>
    </row>
    <row r="152" spans="1:8" ht="78.75" customHeight="1" x14ac:dyDescent="0.2">
      <c r="A152" s="7"/>
      <c r="B152" s="7"/>
      <c r="C152" s="92" t="str">
        <f>'РЕБ 3, септембар 19'!I1377</f>
        <v>ПРОЈЕКАТ -  Стручни надзор над изградњом саобраћајнице С2  и фекалне канализације дуж саобраћајнице С3</v>
      </c>
      <c r="D152" s="2"/>
      <c r="E152" s="2"/>
      <c r="F152" s="4">
        <f>'РЕБ 3, септембар 19'!J1380</f>
        <v>1800000</v>
      </c>
      <c r="G152" s="4">
        <f>'РЕБ 3, септембар 19'!K1380</f>
        <v>0</v>
      </c>
      <c r="H152" s="4">
        <f>'РЕБ 3, септембар 19'!L1380</f>
        <v>1800000</v>
      </c>
    </row>
    <row r="153" spans="1:8" ht="80.25" customHeight="1" x14ac:dyDescent="0.2">
      <c r="A153" s="7"/>
      <c r="B153" s="7"/>
      <c r="C153" s="6" t="str">
        <f>'РЕБ 3, септембар 19'!I1382</f>
        <v>ПРОЈЕКАТ - Изградња саобраћајнице С1 и С2 (II фаза) у радној зони бр. 15 у Инђији са хидротехничком инфраструктуром - Пројекат водоводне мреже  (II фаза - С2)</v>
      </c>
      <c r="D153" s="2"/>
      <c r="E153" s="2"/>
      <c r="F153" s="4">
        <f>'РЕБ 3, септембар 19'!J1388</f>
        <v>3906584.11</v>
      </c>
      <c r="G153" s="4">
        <f>'РЕБ 3, септембар 19'!K1388</f>
        <v>0</v>
      </c>
      <c r="H153" s="4">
        <f>'РЕБ 3, септембар 19'!L1388</f>
        <v>3906584.11</v>
      </c>
    </row>
    <row r="154" spans="1:8" ht="115.5" customHeight="1" x14ac:dyDescent="0.2">
      <c r="A154" s="7"/>
      <c r="B154" s="7"/>
      <c r="C154" s="6" t="str">
        <f>'РЕБ 3, септембар 19'!I1390</f>
        <v>ПРОЈЕКАТ  - Изградња ВН кабла у радној зони  Локација 15 у коридору саобраћајнице С3 у дужини од 1300 м  (до раскрснице   С2 и С3   ) у Инђији са хидротехничком инфраструктуром - Пројекат водоводне мреже  (II фаза - С2)</v>
      </c>
      <c r="D154" s="2"/>
      <c r="E154" s="2"/>
      <c r="F154" s="4">
        <f>'РЕБ 3, септембар 19'!J1394</f>
        <v>4484000</v>
      </c>
      <c r="G154" s="4">
        <f>'РЕБ 3, септембар 19'!K1394</f>
        <v>0</v>
      </c>
      <c r="H154" s="4">
        <f>'РЕБ 3, септембар 19'!L1394</f>
        <v>4484000</v>
      </c>
    </row>
    <row r="155" spans="1:8" ht="69" customHeight="1" x14ac:dyDescent="0.2">
      <c r="A155" s="7"/>
      <c r="B155" s="7"/>
      <c r="C155" s="6" t="str">
        <f>'РЕБ 3, септембар 19'!I1396</f>
        <v>ПРОЈЕКАТ - Израда техничке документације за изградњу пешачке стазе од улице Каменова до Монуса са леве стране до А 126</v>
      </c>
      <c r="D155" s="2"/>
      <c r="E155" s="2"/>
      <c r="F155" s="4">
        <f>'РЕБ 3, септембар 19'!J1399</f>
        <v>1</v>
      </c>
      <c r="G155" s="4">
        <f>'РЕБ 3, септембар 19'!K1399</f>
        <v>0</v>
      </c>
      <c r="H155" s="4">
        <f>'РЕБ 3, септембар 19'!L1399</f>
        <v>1</v>
      </c>
    </row>
    <row r="156" spans="1:8" ht="75.75" customHeight="1" x14ac:dyDescent="0.2">
      <c r="A156" s="7"/>
      <c r="B156" s="7"/>
      <c r="C156" s="6" t="str">
        <f>'РЕБ 3, септембар 19'!I1401</f>
        <v xml:space="preserve">ПРОЈЕКАТ - Израда пројектне документације за изградњу пешачких семафора на државном путу II А-100 кроз насељено место Инђија </v>
      </c>
      <c r="D156" s="2"/>
      <c r="E156" s="2"/>
      <c r="F156" s="4">
        <f>'РЕБ 3, септембар 19'!J1402</f>
        <v>500000</v>
      </c>
      <c r="G156" s="4">
        <f>'РЕБ 3, септембар 19'!K1402</f>
        <v>0</v>
      </c>
      <c r="H156" s="4">
        <f>'РЕБ 3, септембар 19'!L1402</f>
        <v>500000</v>
      </c>
    </row>
    <row r="157" spans="1:8" ht="79.5" customHeight="1" x14ac:dyDescent="0.2">
      <c r="A157" s="7"/>
      <c r="B157" s="7"/>
      <c r="C157" s="6" t="str">
        <f>'РЕБ 3, септембар 19'!I1406</f>
        <v>ПРОЈЕКАТ - Израда пројектне документације за реконструкцију раскрснице улица Лукачева (ДП другог реда), Главне и Челенске у насељу Нови Карловци</v>
      </c>
      <c r="D157" s="2"/>
      <c r="E157" s="2"/>
      <c r="F157" s="4">
        <f>'РЕБ 3, септембар 19'!J1407</f>
        <v>1</v>
      </c>
      <c r="G157" s="4">
        <f>'РЕБ 3, септембар 19'!K1407</f>
        <v>0</v>
      </c>
      <c r="H157" s="4">
        <f>'РЕБ 3, септембар 19'!L1407</f>
        <v>1</v>
      </c>
    </row>
    <row r="158" spans="1:8" ht="152.25" customHeight="1" x14ac:dyDescent="0.2">
      <c r="A158" s="7"/>
      <c r="B158" s="7"/>
      <c r="C158" s="6" t="str">
        <f>'РЕБ 3, септембар 19'!I1411</f>
        <v>ПРОЈЕКАТ - Израда техничке документације и извођење радова на изградњи двоструког кабловског вода у индустијској зони на Локацији 15 од МБТС Индофуд до планиране МБТС 2х630 КVA у дужини 2х1,1 км у зони раскрснице саобраћајница С1 и С3 и изградњу планиране трафо станице</v>
      </c>
      <c r="D158" s="2"/>
      <c r="E158" s="2"/>
      <c r="F158" s="4">
        <f>'РЕБ 3, септембар 19'!J1416</f>
        <v>16200000</v>
      </c>
      <c r="G158" s="4">
        <f>'РЕБ 3, септембар 19'!K1416</f>
        <v>0</v>
      </c>
      <c r="H158" s="4">
        <f>'РЕБ 3, септембар 19'!L1416</f>
        <v>16200000</v>
      </c>
    </row>
    <row r="159" spans="1:8" ht="121.5" customHeight="1" x14ac:dyDescent="0.2">
      <c r="A159" s="7"/>
      <c r="B159" s="7"/>
      <c r="C159" s="6" t="str">
        <f>'РЕБ 3, септембар 19'!I1418</f>
        <v>ПРОЈЕКАТ - Израда техничке документације и извођење радова на изградњи кабловског вода 20KV са постојећег "20KV Бешка - Крчедин" далековода у дужини од цца. 500 м као и изградњу МБТС 20/0,4 KV у радној зони Бешка Локација 3</v>
      </c>
      <c r="D159" s="2"/>
      <c r="E159" s="2"/>
      <c r="F159" s="4">
        <f>'РЕБ 3, септембар 19'!J1423</f>
        <v>300000</v>
      </c>
      <c r="G159" s="4">
        <f>'РЕБ 3, септембар 19'!K1423</f>
        <v>0</v>
      </c>
      <c r="H159" s="4">
        <f>'РЕБ 3, септембар 19'!L1423</f>
        <v>300000</v>
      </c>
    </row>
    <row r="160" spans="1:8" ht="47.25" customHeight="1" x14ac:dyDescent="0.2">
      <c r="A160" s="7"/>
      <c r="B160" s="7"/>
      <c r="C160" s="6" t="str">
        <f>'РЕБ 3, септембар 19'!I1425</f>
        <v>ПРОЈЕКАТ -  Реконструкција /замена постојеће СТС "Крчевина"</v>
      </c>
      <c r="D160" s="2"/>
      <c r="E160" s="2"/>
      <c r="F160" s="4">
        <f>'РЕБ 3, септембар 19'!J1428</f>
        <v>2000000</v>
      </c>
      <c r="G160" s="4">
        <f>'РЕБ 3, септембар 19'!K1428</f>
        <v>0</v>
      </c>
      <c r="H160" s="4">
        <f>'РЕБ 3, септембар 19'!L1428</f>
        <v>2000000</v>
      </c>
    </row>
    <row r="161" spans="1:12" ht="52.5" customHeight="1" x14ac:dyDescent="0.2">
      <c r="A161" s="7"/>
      <c r="B161" s="7"/>
      <c r="C161" s="6" t="str">
        <f>'РЕБ 3, септембар 19'!I1430</f>
        <v>ПРОЈЕКАТ -  Измештање постојеће КТЦ "Дом културе у центру Бешка"</v>
      </c>
      <c r="D161" s="2"/>
      <c r="E161" s="2"/>
      <c r="F161" s="4">
        <f>'РЕБ 3, септембар 19'!J1434</f>
        <v>100000</v>
      </c>
      <c r="G161" s="4">
        <f>'РЕБ 3, септембар 19'!K1434</f>
        <v>0</v>
      </c>
      <c r="H161" s="4">
        <f>'РЕБ 3, септембар 19'!L1434</f>
        <v>100000</v>
      </c>
    </row>
    <row r="162" spans="1:12" ht="45.75" customHeight="1" x14ac:dyDescent="0.2">
      <c r="A162" s="7"/>
      <c r="B162" s="7"/>
      <c r="C162" s="6" t="str">
        <f>'РЕБ 3, септембар 19'!I1436</f>
        <v xml:space="preserve">ПРОЈЕКАТ-  Реконструкција СТС Дунавска у Бешки </v>
      </c>
      <c r="D162" s="2"/>
      <c r="E162" s="2"/>
      <c r="F162" s="4">
        <f>'РЕБ 3, септембар 19'!J1439</f>
        <v>4000000</v>
      </c>
      <c r="G162" s="4">
        <f>'РЕБ 3, септембар 19'!K1439</f>
        <v>0</v>
      </c>
      <c r="H162" s="4">
        <f>'РЕБ 3, септембар 19'!L1439</f>
        <v>4000000</v>
      </c>
    </row>
    <row r="163" spans="1:12" ht="37.5" customHeight="1" x14ac:dyDescent="0.2">
      <c r="A163" s="7"/>
      <c r="B163" s="7"/>
      <c r="C163" s="6" t="str">
        <f>'РЕБ 3, септембар 19'!I1441</f>
        <v xml:space="preserve">ПРОЈЕКАТ - Изградња СТС Каменова  у Инђији </v>
      </c>
      <c r="D163" s="2"/>
      <c r="E163" s="2"/>
      <c r="F163" s="4">
        <f>'РЕБ 3, септембар 19'!J1445</f>
        <v>1800000</v>
      </c>
      <c r="G163" s="4">
        <f>'РЕБ 3, септембар 19'!K1445</f>
        <v>0</v>
      </c>
      <c r="H163" s="4">
        <f>'РЕБ 3, септембар 19'!L1445</f>
        <v>1800000</v>
      </c>
    </row>
    <row r="164" spans="1:12" ht="51.75" customHeight="1" x14ac:dyDescent="0.2">
      <c r="A164" s="7"/>
      <c r="B164" s="7"/>
      <c r="C164" s="6" t="str">
        <f>'РЕБ 3, септембар 19'!I1447</f>
        <v>ПРОЈЕКАТ - Изградња прикључног вода 20КV Каменова улица 500 м у Инђији</v>
      </c>
      <c r="D164" s="2"/>
      <c r="E164" s="2"/>
      <c r="F164" s="4">
        <f>'РЕБ 3, септембар 19'!J1451</f>
        <v>900000</v>
      </c>
      <c r="G164" s="4">
        <f>'РЕБ 3, септембар 19'!K1451</f>
        <v>0</v>
      </c>
      <c r="H164" s="4">
        <f>'РЕБ 3, септембар 19'!L1451</f>
        <v>900000</v>
      </c>
    </row>
    <row r="165" spans="1:12" ht="51.75" customHeight="1" x14ac:dyDescent="0.2">
      <c r="A165" s="7"/>
      <c r="B165" s="7"/>
      <c r="C165" s="6" t="str">
        <f>'РЕБ 3, септембар 19'!I1453</f>
        <v>ПРОЈЕКАТ -  Изградња НН мреже Каменова улица у Инђији</v>
      </c>
      <c r="D165" s="2"/>
      <c r="E165" s="2"/>
      <c r="F165" s="4">
        <f>'РЕБ 3, септембар 19'!J1457</f>
        <v>1500000</v>
      </c>
      <c r="G165" s="4">
        <f>'РЕБ 3, септембар 19'!K1457</f>
        <v>0</v>
      </c>
      <c r="H165" s="4">
        <f>'РЕБ 3, септембар 19'!L1457</f>
        <v>1500000</v>
      </c>
    </row>
    <row r="166" spans="1:12" ht="51.75" customHeight="1" x14ac:dyDescent="0.2">
      <c r="A166" s="7"/>
      <c r="B166" s="7"/>
      <c r="C166" s="6" t="str">
        <f>'РЕБ 3, септембар 19'!I1459</f>
        <v>ПРОЈЕКАТ -  Изградња СТС Новосадска у Инђији</v>
      </c>
      <c r="D166" s="2"/>
      <c r="E166" s="2"/>
      <c r="F166" s="4">
        <f>'РЕБ 3, септембар 19'!J1463</f>
        <v>1800000</v>
      </c>
      <c r="G166" s="4">
        <f>'РЕБ 3, септембар 19'!K1463</f>
        <v>0</v>
      </c>
      <c r="H166" s="4">
        <f>'РЕБ 3, септембар 19'!L1463</f>
        <v>1800000</v>
      </c>
    </row>
    <row r="167" spans="1:12" ht="51.75" customHeight="1" x14ac:dyDescent="0.2">
      <c r="A167" s="7"/>
      <c r="B167" s="7"/>
      <c r="C167" s="6" t="str">
        <f>'РЕБ 3, септембар 19'!I1465</f>
        <v>ПРОЈЕКАТ - Изградња прикључног вода 20KV Новосадска 100 м у Инђији</v>
      </c>
      <c r="D167" s="2"/>
      <c r="E167" s="2"/>
      <c r="F167" s="4">
        <f>'РЕБ 3, септембар 19'!J1469</f>
        <v>180000</v>
      </c>
      <c r="G167" s="4">
        <f>'РЕБ 3, септембар 19'!K1469</f>
        <v>0</v>
      </c>
      <c r="H167" s="4">
        <f>'РЕБ 3, септембар 19'!L1469</f>
        <v>180000</v>
      </c>
    </row>
    <row r="168" spans="1:12" ht="51.75" customHeight="1" x14ac:dyDescent="0.2">
      <c r="A168" s="7"/>
      <c r="B168" s="7"/>
      <c r="C168" s="6" t="str">
        <f>'РЕБ 3, септембар 19'!I1471</f>
        <v>ПРОЈЕКАТ - Изградња НН мреже Новосадска улица у Инђији</v>
      </c>
      <c r="D168" s="2"/>
      <c r="E168" s="2"/>
      <c r="F168" s="4">
        <f>'РЕБ 3, септембар 19'!J1475</f>
        <v>2</v>
      </c>
      <c r="G168" s="4">
        <f>'РЕБ 3, септембар 19'!K1475</f>
        <v>0</v>
      </c>
      <c r="H168" s="4">
        <f>'РЕБ 3, септембар 19'!L1475</f>
        <v>2</v>
      </c>
    </row>
    <row r="169" spans="1:12" ht="75.75" customHeight="1" x14ac:dyDescent="0.2">
      <c r="A169" s="7"/>
      <c r="B169" s="7"/>
      <c r="C169" s="6" t="str">
        <f>'РЕБ 3, септембар 19'!I1477</f>
        <v>ПРОЈЕКАТ - Израда техничке документације и извођење радова на изградњи јавног осветљења на месном стадиону у Крчедину</v>
      </c>
      <c r="D169" s="2"/>
      <c r="E169" s="2"/>
      <c r="F169" s="4">
        <f>'РЕБ 3, септембар 19'!J1481</f>
        <v>4040000</v>
      </c>
      <c r="G169" s="4">
        <f>'РЕБ 3, септембар 19'!K1481</f>
        <v>0</v>
      </c>
      <c r="H169" s="4">
        <f>'РЕБ 3, септембар 19'!L1481</f>
        <v>4040000</v>
      </c>
    </row>
    <row r="170" spans="1:12" ht="73.5" customHeight="1" x14ac:dyDescent="0.2">
      <c r="A170" s="7"/>
      <c r="B170" s="7"/>
      <c r="C170" s="766" t="str">
        <f>'РЕБ 3, септембар 19'!I1483</f>
        <v>ПРОЈЕКАТ - Израда техничке документације и извођење радова на изградњи продужетака јавне расвете у улици Сремска кратка у Инђији</v>
      </c>
      <c r="D170" s="2"/>
      <c r="E170" s="2"/>
      <c r="F170" s="4">
        <f>'РЕБ 3, септембар 19'!J1486</f>
        <v>1</v>
      </c>
      <c r="G170" s="4">
        <f>'РЕБ 3, септембар 19'!K1486</f>
        <v>0</v>
      </c>
      <c r="H170" s="4">
        <f>'РЕБ 3, септембар 19'!L1486</f>
        <v>1</v>
      </c>
    </row>
    <row r="171" spans="1:12" ht="63.75" customHeight="1" x14ac:dyDescent="0.2">
      <c r="A171" s="7"/>
      <c r="B171" s="7"/>
      <c r="C171" s="6" t="str">
        <f>'РЕБ 3, септембар 19'!I1488</f>
        <v>ПРОЈЕКАТ - Израда пројектне документације за изградњу јавне расвете у радној зони Бешка локација 3</v>
      </c>
      <c r="D171" s="2"/>
      <c r="E171" s="2"/>
      <c r="F171" s="4">
        <f>'РЕБ 3, септембар 19'!J1491</f>
        <v>500000</v>
      </c>
      <c r="G171" s="4">
        <f>'РЕБ 3, септембар 19'!K1491</f>
        <v>0</v>
      </c>
      <c r="H171" s="4">
        <f>'РЕБ 3, септембар 19'!L1491</f>
        <v>500000</v>
      </c>
    </row>
    <row r="172" spans="1:12" ht="65.25" customHeight="1" x14ac:dyDescent="0.2">
      <c r="A172" s="7"/>
      <c r="B172" s="7"/>
      <c r="C172" s="6" t="str">
        <f>'РЕБ 3, септембар 19'!I1493</f>
        <v>ПРОЈЕКАТ Учешће у изградњи средњенапонског далековода од Новог Сланкамена до Сурдука</v>
      </c>
      <c r="D172" s="2"/>
      <c r="E172" s="2"/>
      <c r="F172" s="4">
        <f>'РЕБ 3, септембар 19'!J1496</f>
        <v>1000</v>
      </c>
      <c r="G172" s="4">
        <f>'РЕБ 3, септембар 19'!K1496</f>
        <v>0</v>
      </c>
      <c r="H172" s="4">
        <f>'РЕБ 3, септембар 19'!L1496</f>
        <v>1000</v>
      </c>
    </row>
    <row r="173" spans="1:12" ht="57.75" customHeight="1" x14ac:dyDescent="0.2">
      <c r="A173" s="7"/>
      <c r="B173" s="7"/>
      <c r="C173" s="6" t="str">
        <f>'РЕБ 3, септембар 19'!I1498</f>
        <v>ПРОЈЕКАТ - Пројектовање и изградња јавне расвете на локацији Чарнок у Старом Сланкамену</v>
      </c>
      <c r="D173" s="2"/>
      <c r="E173" s="2"/>
      <c r="F173" s="4">
        <f>'РЕБ 3, септембар 19'!J1501</f>
        <v>1</v>
      </c>
      <c r="G173" s="4">
        <f>'РЕБ 3, септембар 19'!K1501</f>
        <v>0</v>
      </c>
      <c r="H173" s="4">
        <f>'РЕБ 3, септембар 19'!L1501</f>
        <v>1</v>
      </c>
    </row>
    <row r="174" spans="1:12" ht="76.5" customHeight="1" x14ac:dyDescent="0.2">
      <c r="A174" s="7"/>
      <c r="B174" s="7"/>
      <c r="C174" s="6" t="str">
        <f>'РЕБ 3, септембар 19'!I1532</f>
        <v>ПРОЈЕКАТ  - ЈАВНИ РЕД И БЕЗБЕДНОСТ</v>
      </c>
      <c r="D174" s="2"/>
      <c r="E174" s="2"/>
      <c r="F174" s="4">
        <f>'РЕБ 3, септембар 19'!J1541</f>
        <v>14281823</v>
      </c>
      <c r="G174" s="4">
        <f>'РЕБ 3, септембар 19'!K1541</f>
        <v>0</v>
      </c>
      <c r="H174" s="4">
        <f>'РЕБ 3, септембар 19'!L1541</f>
        <v>14281823</v>
      </c>
    </row>
    <row r="175" spans="1:12" ht="33.75" x14ac:dyDescent="0.2">
      <c r="A175" s="31" t="s">
        <v>380</v>
      </c>
      <c r="B175" s="31"/>
      <c r="C175" s="32" t="s">
        <v>403</v>
      </c>
      <c r="D175" s="32" t="s">
        <v>505</v>
      </c>
      <c r="E175" s="32" t="s">
        <v>506</v>
      </c>
      <c r="F175" s="33">
        <f>SUM(F176:F181)</f>
        <v>429545141.22000003</v>
      </c>
      <c r="G175" s="33">
        <f t="shared" ref="G175:H175" si="5">SUM(G176:G181)</f>
        <v>10500000</v>
      </c>
      <c r="H175" s="33">
        <f t="shared" si="5"/>
        <v>440045141.22000003</v>
      </c>
      <c r="L175" s="78"/>
    </row>
    <row r="176" spans="1:12" ht="45" x14ac:dyDescent="0.2">
      <c r="A176" s="11"/>
      <c r="B176" s="7" t="s">
        <v>229</v>
      </c>
      <c r="C176" s="2" t="s">
        <v>664</v>
      </c>
      <c r="D176" s="2" t="s">
        <v>507</v>
      </c>
      <c r="E176" s="2" t="s">
        <v>508</v>
      </c>
      <c r="F176" s="3">
        <f>'РЕБ 3, септембар 19'!J1574</f>
        <v>278545141.22000003</v>
      </c>
      <c r="G176" s="3">
        <f>'РЕБ 3, септембар 19'!K1574</f>
        <v>10500000</v>
      </c>
      <c r="H176" s="3">
        <f>'РЕБ 3, септембар 19'!L1574</f>
        <v>289045141.22000003</v>
      </c>
    </row>
    <row r="177" spans="1:12" ht="69" customHeight="1" x14ac:dyDescent="0.2">
      <c r="A177" s="11"/>
      <c r="B177" s="7"/>
      <c r="C177" s="6" t="str">
        <f>'РЕБ 3, септембар 19'!I1583</f>
        <v>ПРОЈЕКАТ  - Израда пројектне документације и  изградња новог објекта за предшколску установу - прва фаза</v>
      </c>
      <c r="D177" s="2"/>
      <c r="E177" s="2"/>
      <c r="F177" s="3">
        <f>'РЕБ 3, септембар 19'!J1587</f>
        <v>132800000</v>
      </c>
      <c r="G177" s="3">
        <f>'РЕБ 3, септембар 19'!K1587</f>
        <v>0</v>
      </c>
      <c r="H177" s="3">
        <f>'РЕБ 3, септембар 19'!L1587</f>
        <v>132800000</v>
      </c>
    </row>
    <row r="178" spans="1:12" ht="45" customHeight="1" x14ac:dyDescent="0.2">
      <c r="A178" s="11"/>
      <c r="B178" s="7"/>
      <c r="C178" s="15" t="str">
        <f>'РЕБ 3, септембар 19'!I1589</f>
        <v>ПРОЈЕКАТ  - Доградња вртића на објекту Невен у Инђији</v>
      </c>
      <c r="D178" s="2"/>
      <c r="E178" s="2"/>
      <c r="F178" s="3">
        <f>'РЕБ 3, септембар 19'!J1593</f>
        <v>7200000</v>
      </c>
      <c r="G178" s="3">
        <f>'РЕБ 3, септембар 19'!K1593</f>
        <v>0</v>
      </c>
      <c r="H178" s="3">
        <f>'РЕБ 3, септембар 19'!L1593</f>
        <v>7200000</v>
      </c>
    </row>
    <row r="179" spans="1:12" ht="39.75" customHeight="1" x14ac:dyDescent="0.2">
      <c r="A179" s="11"/>
      <c r="B179" s="7"/>
      <c r="C179" s="6" t="str">
        <f>'РЕБ 3, септембар 19'!I1595</f>
        <v>ПРОЈЕКАТ  - Школица живота - заједно за детињство - Вртић Љуково</v>
      </c>
      <c r="D179" s="2"/>
      <c r="E179" s="2"/>
      <c r="F179" s="3">
        <f>'РЕБ 3, септембар 19'!J1598</f>
        <v>2500000</v>
      </c>
      <c r="G179" s="3">
        <f>'РЕБ 3, септембар 19'!K1598</f>
        <v>0</v>
      </c>
      <c r="H179" s="3">
        <f>'РЕБ 3, септембар 19'!L1598</f>
        <v>2500000</v>
      </c>
    </row>
    <row r="180" spans="1:12" ht="57" customHeight="1" x14ac:dyDescent="0.2">
      <c r="A180" s="11"/>
      <c r="B180" s="7"/>
      <c r="C180" s="61" t="str">
        <f>'РЕБ 3, септембар 19'!I1600</f>
        <v>ПРОЈЕКАТ  - Инвестициони радови на текућем одржавању, на објекту предшколске установе у Бешки</v>
      </c>
      <c r="D180" s="62"/>
      <c r="E180" s="62"/>
      <c r="F180" s="50">
        <f>'РЕБ 3, септембар 19'!J1604</f>
        <v>8200000</v>
      </c>
      <c r="G180" s="50">
        <f>'РЕБ 3, септембар 19'!K1604</f>
        <v>0</v>
      </c>
      <c r="H180" s="50">
        <f>'РЕБ 3, септембар 19'!L1604</f>
        <v>8200000</v>
      </c>
    </row>
    <row r="181" spans="1:12" ht="58.5" customHeight="1" x14ac:dyDescent="0.2">
      <c r="A181" s="11"/>
      <c r="B181" s="7"/>
      <c r="C181" s="63" t="str">
        <f>'РЕБ 3, септембар 19'!I1606</f>
        <v>ПРОЈЕКАТ  - Израда пројектне документације за доградњу вртића у Новом Сланкамену</v>
      </c>
      <c r="D181" s="62"/>
      <c r="E181" s="62"/>
      <c r="F181" s="64">
        <f>'РЕБ 3, септембар 19'!J1609</f>
        <v>300000</v>
      </c>
      <c r="G181" s="64">
        <f>'РЕБ 3, септембар 19'!K1609</f>
        <v>0</v>
      </c>
      <c r="H181" s="64">
        <f>'РЕБ 3, септембар 19'!L1609</f>
        <v>300000</v>
      </c>
    </row>
    <row r="182" spans="1:12" ht="33.75" x14ac:dyDescent="0.2">
      <c r="A182" s="31" t="s">
        <v>381</v>
      </c>
      <c r="B182" s="31"/>
      <c r="C182" s="32" t="s">
        <v>509</v>
      </c>
      <c r="D182" s="32" t="s">
        <v>404</v>
      </c>
      <c r="E182" s="32" t="s">
        <v>510</v>
      </c>
      <c r="F182" s="33">
        <f>SUM(F183:F184)</f>
        <v>190674002</v>
      </c>
      <c r="G182" s="33">
        <f t="shared" ref="G182:H182" si="6">SUM(G183:G184)</f>
        <v>0</v>
      </c>
      <c r="H182" s="33">
        <f t="shared" si="6"/>
        <v>190674002</v>
      </c>
      <c r="L182" s="78"/>
    </row>
    <row r="183" spans="1:12" ht="33.75" x14ac:dyDescent="0.2">
      <c r="A183" s="11"/>
      <c r="B183" s="7" t="s">
        <v>230</v>
      </c>
      <c r="C183" s="2" t="str">
        <f>'РЕБ 3, септембар 19'!I1614</f>
        <v>Функционисање основних школа</v>
      </c>
      <c r="D183" s="2" t="s">
        <v>511</v>
      </c>
      <c r="E183" s="2" t="s">
        <v>512</v>
      </c>
      <c r="F183" s="3">
        <f>'РЕБ 3, септембар 19'!J1634</f>
        <v>190674000</v>
      </c>
      <c r="G183" s="3">
        <f>'РЕБ 3, септембар 19'!K1634</f>
        <v>0</v>
      </c>
      <c r="H183" s="3">
        <f>'РЕБ 3, септембар 19'!L1634</f>
        <v>190674000</v>
      </c>
    </row>
    <row r="184" spans="1:12" ht="47.25" customHeight="1" x14ac:dyDescent="0.2">
      <c r="A184" s="11"/>
      <c r="B184" s="7"/>
      <c r="C184" s="2" t="str">
        <f>'РЕБ 3, септембар 19'!I1638</f>
        <v>ПРОЈЕКАТ  -  Реконструкција објекта ОШ Душан Јерковић (дворац Пеачевић)</v>
      </c>
      <c r="D184" s="2"/>
      <c r="E184" s="2"/>
      <c r="F184" s="3">
        <f>'РЕБ 3, септембар 19'!J1642</f>
        <v>2</v>
      </c>
      <c r="G184" s="3">
        <f>'РЕБ 3, септембар 19'!K1642</f>
        <v>0</v>
      </c>
      <c r="H184" s="3">
        <f>'РЕБ 3, септембар 19'!L1642</f>
        <v>2</v>
      </c>
    </row>
    <row r="185" spans="1:12" ht="33.75" x14ac:dyDescent="0.2">
      <c r="A185" s="31" t="s">
        <v>382</v>
      </c>
      <c r="B185" s="31"/>
      <c r="C185" s="32" t="s">
        <v>513</v>
      </c>
      <c r="D185" s="32" t="s">
        <v>514</v>
      </c>
      <c r="E185" s="32" t="s">
        <v>515</v>
      </c>
      <c r="F185" s="33">
        <f>SUM(F186:F187)</f>
        <v>65003651.049999997</v>
      </c>
      <c r="G185" s="33">
        <f t="shared" ref="G185:H185" si="7">SUM(G186:G187)</f>
        <v>0</v>
      </c>
      <c r="H185" s="33">
        <f t="shared" si="7"/>
        <v>65003651.049999997</v>
      </c>
      <c r="L185" s="78"/>
    </row>
    <row r="186" spans="1:12" ht="33.75" x14ac:dyDescent="0.2">
      <c r="A186" s="11"/>
      <c r="B186" s="7" t="s">
        <v>232</v>
      </c>
      <c r="C186" s="2" t="s">
        <v>665</v>
      </c>
      <c r="D186" s="2" t="s">
        <v>516</v>
      </c>
      <c r="E186" s="2" t="s">
        <v>517</v>
      </c>
      <c r="F186" s="3">
        <f>'РЕБ 3, септембар 19'!J1667</f>
        <v>60120000</v>
      </c>
      <c r="G186" s="3">
        <f>'РЕБ 3, септембар 19'!K1667</f>
        <v>0</v>
      </c>
      <c r="H186" s="3">
        <f>'РЕБ 3, септембар 19'!L1667</f>
        <v>60120000</v>
      </c>
    </row>
    <row r="187" spans="1:12" ht="45" x14ac:dyDescent="0.2">
      <c r="A187" s="11"/>
      <c r="B187" s="7"/>
      <c r="C187" s="6" t="str">
        <f>'РЕБ 3, септембар 19'!I1673</f>
        <v>ПРОЈЕКАТ  - ТШ Михајло Пупин Инђија - Инвестиционо одржавање фискултурне сале</v>
      </c>
      <c r="D187" s="2"/>
      <c r="E187" s="2"/>
      <c r="F187" s="3">
        <f>'РЕБ 3, септембар 19'!J1680</f>
        <v>4883651.05</v>
      </c>
      <c r="G187" s="3">
        <f>'РЕБ 3, септембар 19'!K1680</f>
        <v>0</v>
      </c>
      <c r="H187" s="3">
        <f>'РЕБ 3, септембар 19'!L1680</f>
        <v>4883651.05</v>
      </c>
    </row>
    <row r="188" spans="1:12" ht="45" x14ac:dyDescent="0.2">
      <c r="A188" s="31" t="s">
        <v>242</v>
      </c>
      <c r="B188" s="31"/>
      <c r="C188" s="32" t="s">
        <v>405</v>
      </c>
      <c r="D188" s="32" t="s">
        <v>518</v>
      </c>
      <c r="E188" s="32" t="s">
        <v>519</v>
      </c>
      <c r="F188" s="33">
        <f>SUM(F189:F199)</f>
        <v>220210000</v>
      </c>
      <c r="G188" s="33">
        <f>SUM(G189:G198)</f>
        <v>0</v>
      </c>
      <c r="H188" s="33">
        <f>SUM(F188:G188)</f>
        <v>220210000</v>
      </c>
      <c r="L188" s="78"/>
    </row>
    <row r="189" spans="1:12" ht="33.75" x14ac:dyDescent="0.2">
      <c r="A189" s="11"/>
      <c r="B189" s="7" t="s">
        <v>243</v>
      </c>
      <c r="C189" s="8" t="str">
        <f>'РЕБ 3, септембар 19'!I1708</f>
        <v>Једнократне помоћи и други облици помоћи</v>
      </c>
      <c r="D189" s="8" t="s">
        <v>406</v>
      </c>
      <c r="E189" s="8" t="s">
        <v>520</v>
      </c>
      <c r="F189" s="3">
        <f>'РЕБ 3, септембар 19'!J1690+'РЕБ 3, септембар 19'!J1713+'РЕБ 3, септембар 19'!J1726+'РЕБ 3, септембар 19'!J1737</f>
        <v>111755000</v>
      </c>
      <c r="G189" s="3">
        <f>'РЕБ 3, септембар 19'!K1690+'РЕБ 3, септембар 19'!K1713+'РЕБ 3, септембар 19'!K1726+'РЕБ 3, септембар 19'!K1737</f>
        <v>0</v>
      </c>
      <c r="H189" s="3">
        <f>'РЕБ 3, септембар 19'!L1690+'РЕБ 3, септембар 19'!L1713+'РЕБ 3, септембар 19'!L1726+'РЕБ 3, септембар 19'!L1737</f>
        <v>111755000</v>
      </c>
    </row>
    <row r="190" spans="1:12" ht="33.75" x14ac:dyDescent="0.2">
      <c r="A190" s="11"/>
      <c r="B190" s="7" t="s">
        <v>245</v>
      </c>
      <c r="C190" s="8" t="str">
        <f>'РЕБ 3, септембар 19'!I1744</f>
        <v>Породични и домски смештај, прихватилишта и друге врсте смештаја</v>
      </c>
      <c r="D190" s="8" t="s">
        <v>582</v>
      </c>
      <c r="E190" s="8" t="s">
        <v>666</v>
      </c>
      <c r="F190" s="3">
        <f>'РЕБ 3, септембар 19'!J1749</f>
        <v>500000</v>
      </c>
      <c r="G190" s="3">
        <f>'РЕБ 3, септембар 19'!K1749</f>
        <v>0</v>
      </c>
      <c r="H190" s="9">
        <f t="shared" ref="H190" si="8">SUM(F190:G190)</f>
        <v>500000</v>
      </c>
    </row>
    <row r="191" spans="1:12" ht="78.75" x14ac:dyDescent="0.2">
      <c r="A191" s="11"/>
      <c r="B191" s="7" t="s">
        <v>246</v>
      </c>
      <c r="C191" s="2" t="str">
        <f>'РЕБ 3, септембар 19'!I1694</f>
        <v>Подршка реализацији програма Црвеног крста</v>
      </c>
      <c r="D191" s="2" t="s">
        <v>521</v>
      </c>
      <c r="E191" s="2" t="s">
        <v>522</v>
      </c>
      <c r="F191" s="4">
        <f>'РЕБ 3, септембар 19'!J1699+'РЕБ 3, септембар 19'!J1758</f>
        <v>11650000</v>
      </c>
      <c r="G191" s="4">
        <f>'РЕБ 3, септембар 19'!K1699+'РЕБ 3, септембар 19'!K1758</f>
        <v>0</v>
      </c>
      <c r="H191" s="4">
        <f>'РЕБ 3, септембар 19'!L1699+'РЕБ 3, септембар 19'!L1758</f>
        <v>11650000</v>
      </c>
    </row>
    <row r="192" spans="1:12" ht="22.5" x14ac:dyDescent="0.2">
      <c r="A192" s="11"/>
      <c r="B192" s="7" t="s">
        <v>244</v>
      </c>
      <c r="C192" s="2" t="str">
        <f>'РЕБ 3, септембар 19'!I1762</f>
        <v>Подршка деци и породици са децом</v>
      </c>
      <c r="D192" s="2" t="s">
        <v>523</v>
      </c>
      <c r="E192" s="2" t="s">
        <v>524</v>
      </c>
      <c r="F192" s="65">
        <f>'РЕБ 3, септембар 19'!J1771</f>
        <v>56300000</v>
      </c>
      <c r="G192" s="65">
        <f>'РЕБ 3, септембар 19'!K1771</f>
        <v>0</v>
      </c>
      <c r="H192" s="65">
        <f>'РЕБ 3, септембар 19'!L1771</f>
        <v>56300000</v>
      </c>
    </row>
    <row r="193" spans="1:12" ht="48" customHeight="1" x14ac:dyDescent="0.2">
      <c r="A193" s="11"/>
      <c r="B193" s="7"/>
      <c r="C193" s="2" t="str">
        <f>'РЕБ 3, септембар 19'!I1716</f>
        <v>ПРОЈЕКАТ  - ПОДРШКА ДЕЦИ И ПОРОДИЦАМА СА ДЕЦОМ ОШТЕЋЕНОМ У РАЗВОЈУ</v>
      </c>
      <c r="D193" s="2"/>
      <c r="E193" s="2"/>
      <c r="F193" s="65">
        <f>'РЕБ 3, септембар 19'!J1718</f>
        <v>16370000</v>
      </c>
      <c r="G193" s="65">
        <f>'РЕБ 3, септембар 19'!K1718</f>
        <v>0</v>
      </c>
      <c r="H193" s="65">
        <f>'РЕБ 3, септембар 19'!L1718</f>
        <v>16370000</v>
      </c>
    </row>
    <row r="194" spans="1:12" ht="37.5" customHeight="1" x14ac:dyDescent="0.2">
      <c r="A194" s="11"/>
      <c r="B194" s="7"/>
      <c r="C194" s="2" t="str">
        <f>'РЕБ 3, септембар 19'!I1702</f>
        <v>ПРОЈЕКАТ  - Домски смештај ученика и студената</v>
      </c>
      <c r="D194" s="2"/>
      <c r="E194" s="2"/>
      <c r="F194" s="65">
        <f>'РЕБ 3, септембар 19'!J1705</f>
        <v>1000000</v>
      </c>
      <c r="G194" s="65">
        <f>'РЕБ 3, септембар 19'!K1705</f>
        <v>0</v>
      </c>
      <c r="H194" s="65">
        <f>'РЕБ 3, септембар 19'!L1705</f>
        <v>1000000</v>
      </c>
    </row>
    <row r="195" spans="1:12" ht="26.25" customHeight="1" x14ac:dyDescent="0.2">
      <c r="A195" s="11"/>
      <c r="B195" s="7"/>
      <c r="C195" s="6" t="str">
        <f>'РЕБ 3, септембар 19'!I1777</f>
        <v>ПРОЈЕКАТ  - БЕСПЛАТНЕ УЖИНЕ</v>
      </c>
      <c r="D195" s="2"/>
      <c r="E195" s="2"/>
      <c r="F195" s="65">
        <f>'РЕБ 3, септембар 19'!J1779</f>
        <v>4000000</v>
      </c>
      <c r="G195" s="65">
        <f>'РЕБ 3, септембар 19'!K1779</f>
        <v>0</v>
      </c>
      <c r="H195" s="65">
        <f>'РЕБ 3, септембар 19'!L1779</f>
        <v>4000000</v>
      </c>
      <c r="L195" s="78"/>
    </row>
    <row r="196" spans="1:12" ht="41.25" customHeight="1" x14ac:dyDescent="0.2">
      <c r="A196" s="11"/>
      <c r="B196" s="7"/>
      <c r="C196" s="6" t="str">
        <f>'РЕБ 3, септембар 19'!I1784</f>
        <v>ПРОЈЕКАТ  - ФИНАНСИРАЊЕ ВАНТЕЛЕСНЕ ОПЛОДЊЕ</v>
      </c>
      <c r="D196" s="2"/>
      <c r="E196" s="2"/>
      <c r="F196" s="65">
        <f>'РЕБ 3, септембар 19'!J1786</f>
        <v>2000000</v>
      </c>
      <c r="G196" s="65">
        <f>'РЕБ 3, септембар 19'!K1786</f>
        <v>0</v>
      </c>
      <c r="H196" s="65">
        <f>'РЕБ 3, септембар 19'!L1786</f>
        <v>2000000</v>
      </c>
    </row>
    <row r="197" spans="1:12" ht="69" customHeight="1" x14ac:dyDescent="0.2">
      <c r="A197" s="11"/>
      <c r="B197" s="7"/>
      <c r="C197" s="6" t="str">
        <f>'РЕБ 3, септембар 19'!I1791</f>
        <v>ПРОЈЕКАТ  - ФИНАНСИРАЊЕ УСЛУГА СОЦИЈАЛНЕ ЗАШТИТЕ НА ТЕРИТОРИЈИ ОПШТИНЕ ИНЂИЈА</v>
      </c>
      <c r="D197" s="2"/>
      <c r="E197" s="2"/>
      <c r="F197" s="65">
        <f>'РЕБ 3, септембар 19'!J1793</f>
        <v>10360000</v>
      </c>
      <c r="G197" s="65">
        <f>'РЕБ 3, септембар 19'!K1793</f>
        <v>0</v>
      </c>
      <c r="H197" s="65">
        <f>'РЕБ 3, септембар 19'!L1793</f>
        <v>10360000</v>
      </c>
    </row>
    <row r="198" spans="1:12" ht="58.5" customHeight="1" x14ac:dyDescent="0.2">
      <c r="A198" s="11"/>
      <c r="B198" s="7"/>
      <c r="C198" s="15" t="str">
        <f>'РЕБ 3, септембар 19'!I1797</f>
        <v>ПРОЈЕКАТ  - ПОДРШКА ДЕЦИ И ПОРОДИЦАМА СА ДЕЦОМ ОШТЕЋЕНОМ У РАЗВОЈУ - ИНО ПРОЈЕКАТ</v>
      </c>
      <c r="D198" s="2"/>
      <c r="E198" s="2"/>
      <c r="F198" s="65">
        <f>'РЕБ 3, септембар 19'!J1806</f>
        <v>6274000</v>
      </c>
      <c r="G198" s="65">
        <f>'РЕБ 3, септембар 19'!K1806</f>
        <v>0</v>
      </c>
      <c r="H198" s="65">
        <f>'РЕБ 3, септембар 19'!L1806</f>
        <v>6274000</v>
      </c>
    </row>
    <row r="199" spans="1:12" ht="57" customHeight="1" x14ac:dyDescent="0.2">
      <c r="A199" s="11"/>
      <c r="B199" s="7"/>
      <c r="C199" s="6" t="str">
        <f>'РЕБ 3, септембар 19'!I1808</f>
        <v>ПРОЈЕКАТ  - ПОДРШКА ДЕЦИ И ПОРОДИЦАМА СА ДЕЦОМ ОШТЕЋЕНОМ У РАЗВОЈУ</v>
      </c>
      <c r="D199" s="2"/>
      <c r="E199" s="2"/>
      <c r="F199" s="65">
        <f>'РЕБ 3, септембар 19'!J1815</f>
        <v>1000</v>
      </c>
      <c r="G199" s="65">
        <f>'РЕБ 3, септембар 19'!K1815</f>
        <v>0</v>
      </c>
      <c r="H199" s="65">
        <f>'РЕБ 3, септембар 19'!L1815</f>
        <v>1000</v>
      </c>
    </row>
    <row r="200" spans="1:12" ht="33.75" x14ac:dyDescent="0.2">
      <c r="A200" s="31" t="s">
        <v>247</v>
      </c>
      <c r="B200" s="31"/>
      <c r="C200" s="32" t="s">
        <v>525</v>
      </c>
      <c r="D200" s="32" t="s">
        <v>526</v>
      </c>
      <c r="E200" s="32" t="s">
        <v>527</v>
      </c>
      <c r="F200" s="33">
        <f>SUM(F201:F205)</f>
        <v>182961000</v>
      </c>
      <c r="G200" s="33">
        <f t="shared" ref="G200:H200" si="9">SUM(G201:G205)</f>
        <v>0</v>
      </c>
      <c r="H200" s="33">
        <f t="shared" si="9"/>
        <v>182961000</v>
      </c>
      <c r="L200" s="78"/>
    </row>
    <row r="201" spans="1:12" ht="33.75" x14ac:dyDescent="0.2">
      <c r="A201" s="11"/>
      <c r="B201" s="7" t="s">
        <v>248</v>
      </c>
      <c r="C201" s="2" t="str">
        <f>'РЕБ 3, септембар 19'!I1820</f>
        <v>Функционисање установа примарне здравствене заштите</v>
      </c>
      <c r="D201" s="2" t="s">
        <v>528</v>
      </c>
      <c r="E201" s="2" t="s">
        <v>529</v>
      </c>
      <c r="F201" s="3">
        <f>'РЕБ 3, септембар 19'!J1822</f>
        <v>139000000</v>
      </c>
      <c r="G201" s="3">
        <f>'РЕБ 3, септембар 19'!K1822</f>
        <v>0</v>
      </c>
      <c r="H201" s="3">
        <f>'РЕБ 3, септембар 19'!L1822</f>
        <v>139000000</v>
      </c>
    </row>
    <row r="202" spans="1:12" ht="53.25" customHeight="1" x14ac:dyDescent="0.2">
      <c r="A202" s="11"/>
      <c r="B202" s="7" t="s">
        <v>736</v>
      </c>
      <c r="C202" s="2" t="str">
        <f>'РЕБ 3, септембар 19'!I1826</f>
        <v>Спровођење активности из области друштвене бриге за јавно здравље</v>
      </c>
      <c r="D202" s="2" t="s">
        <v>890</v>
      </c>
      <c r="E202" s="2" t="s">
        <v>891</v>
      </c>
      <c r="F202" s="3">
        <f>'РЕБ 3, септембар 19'!J1828</f>
        <v>300000</v>
      </c>
      <c r="G202" s="3">
        <f>'РЕБ 3, септембар 19'!K1828</f>
        <v>0</v>
      </c>
      <c r="H202" s="3">
        <f>'РЕБ 3, септембар 19'!L1828</f>
        <v>300000</v>
      </c>
    </row>
    <row r="203" spans="1:12" ht="44.25" customHeight="1" x14ac:dyDescent="0.2">
      <c r="A203" s="11"/>
      <c r="B203" s="7"/>
      <c r="C203" s="2" t="str">
        <f>'РЕБ 3, септембар 19'!I1831</f>
        <v>ПРОЈЕКАТ - Набавка возила за Дом здравља</v>
      </c>
      <c r="D203" s="2"/>
      <c r="E203" s="2"/>
      <c r="F203" s="3">
        <f>'РЕБ 3, септембар 19'!J1834</f>
        <v>30000000</v>
      </c>
      <c r="G203" s="3">
        <f>'РЕБ 3, септембар 19'!K1834</f>
        <v>0</v>
      </c>
      <c r="H203" s="3">
        <f>'РЕБ 3, септембар 19'!L1834</f>
        <v>30000000</v>
      </c>
    </row>
    <row r="204" spans="1:12" ht="44.25" customHeight="1" x14ac:dyDescent="0.2">
      <c r="A204" s="11"/>
      <c r="B204" s="7"/>
      <c r="C204" s="2" t="str">
        <f>'РЕБ 3, септембар 19'!I1836</f>
        <v xml:space="preserve">ПРОЈЕКАТ  - Израда пројектне документације и реконструкција амбуланте у Бешки </v>
      </c>
      <c r="D204" s="2"/>
      <c r="E204" s="2"/>
      <c r="F204" s="3">
        <f>'РЕБ 3, септембар 19'!J1841</f>
        <v>8961000</v>
      </c>
      <c r="G204" s="3">
        <f>'РЕБ 3, септембар 19'!K1841</f>
        <v>0</v>
      </c>
      <c r="H204" s="3">
        <f>'РЕБ 3, септембар 19'!L1841</f>
        <v>8961000</v>
      </c>
    </row>
    <row r="205" spans="1:12" ht="80.25" customHeight="1" x14ac:dyDescent="0.2">
      <c r="A205" s="11"/>
      <c r="B205" s="7"/>
      <c r="C205" s="6" t="str">
        <f>'РЕБ 3, септембар 19'!I1843</f>
        <v>ПРОЈЕКАТ  - Израда пројектне документације и извођење радова на реконструкцији објекта здравствене станице у Новом Сланкамену</v>
      </c>
      <c r="D205" s="2"/>
      <c r="E205" s="2"/>
      <c r="F205" s="3">
        <f>'РЕБ 3, септембар 19'!J1847</f>
        <v>4700000</v>
      </c>
      <c r="G205" s="3">
        <f>'РЕБ 3, септембар 19'!K1847</f>
        <v>0</v>
      </c>
      <c r="H205" s="3">
        <f>'РЕБ 3, септембар 19'!L1847</f>
        <v>4700000</v>
      </c>
    </row>
    <row r="206" spans="1:12" ht="33.75" x14ac:dyDescent="0.2">
      <c r="A206" s="31" t="s">
        <v>384</v>
      </c>
      <c r="B206" s="31"/>
      <c r="C206" s="32" t="s">
        <v>530</v>
      </c>
      <c r="D206" s="32" t="s">
        <v>531</v>
      </c>
      <c r="E206" s="32" t="s">
        <v>532</v>
      </c>
      <c r="F206" s="33">
        <f>SUM(F207:F216)</f>
        <v>159259602</v>
      </c>
      <c r="G206" s="33">
        <f t="shared" ref="G206:H206" si="10">SUM(G207:G216)</f>
        <v>15916050</v>
      </c>
      <c r="H206" s="33">
        <f t="shared" si="10"/>
        <v>175175652</v>
      </c>
      <c r="L206" s="78"/>
    </row>
    <row r="207" spans="1:12" ht="33.75" x14ac:dyDescent="0.2">
      <c r="A207" s="11"/>
      <c r="B207" s="14" t="s">
        <v>234</v>
      </c>
      <c r="C207" s="10" t="str">
        <f>'РЕБ 3, септембар 19'!I1856</f>
        <v>Функционисање локалних установа културе</v>
      </c>
      <c r="D207" s="6" t="s">
        <v>533</v>
      </c>
      <c r="E207" s="6" t="s">
        <v>534</v>
      </c>
      <c r="F207" s="3">
        <f>'РЕБ 3, септембар 19'!J1877+'РЕБ 3, септембар 19'!J1923</f>
        <v>57154600</v>
      </c>
      <c r="G207" s="3">
        <f>'РЕБ 3, септембар 19'!K1877+'РЕБ 3, септембар 19'!K1923</f>
        <v>10996050</v>
      </c>
      <c r="H207" s="3">
        <f>'РЕБ 3, септембар 19'!L1877+'РЕБ 3, септембар 19'!L1923</f>
        <v>68150650</v>
      </c>
    </row>
    <row r="208" spans="1:12" ht="33.75" x14ac:dyDescent="0.2">
      <c r="A208" s="11"/>
      <c r="B208" s="14" t="s">
        <v>238</v>
      </c>
      <c r="C208" s="8" t="str">
        <f>'РЕБ 3, септембар 19'!I1968</f>
        <v>Јачање културне продукције и уметничког стваралаштва</v>
      </c>
      <c r="D208" s="8" t="s">
        <v>535</v>
      </c>
      <c r="E208" s="8" t="s">
        <v>536</v>
      </c>
      <c r="F208" s="3">
        <f>'РЕБ 3, септембар 19'!J1889+'РЕБ 3, септембар 19'!J1973+'РЕБ 3, септембар 19'!J1935</f>
        <v>34330000</v>
      </c>
      <c r="G208" s="3">
        <f>'РЕБ 3, септембар 19'!K1889+'РЕБ 3, септембар 19'!K1973+'РЕБ 3, септембар 19'!K1935</f>
        <v>4920000</v>
      </c>
      <c r="H208" s="3">
        <f>'РЕБ 3, септембар 19'!L1889+'РЕБ 3, септембар 19'!L1973+'РЕБ 3, септембар 19'!L1935</f>
        <v>39250000</v>
      </c>
    </row>
    <row r="209" spans="1:13" ht="45" x14ac:dyDescent="0.2">
      <c r="A209" s="7"/>
      <c r="B209" s="7" t="s">
        <v>439</v>
      </c>
      <c r="C209" s="6" t="str">
        <f>'РЕБ 3, септембар 19'!I1976</f>
        <v>Унапређење система очувања и представљања културно-историјског наслеђа</v>
      </c>
      <c r="D209" s="2" t="s">
        <v>667</v>
      </c>
      <c r="E209" s="2" t="s">
        <v>668</v>
      </c>
      <c r="F209" s="4">
        <f>'РЕБ 3, септембар 19'!J1981</f>
        <v>16000000</v>
      </c>
      <c r="G209" s="4">
        <f>'РЕБ 3, септембар 19'!K1981</f>
        <v>0</v>
      </c>
      <c r="H209" s="4">
        <f>'РЕБ 3, септембар 19'!L1981</f>
        <v>16000000</v>
      </c>
      <c r="M209" s="78"/>
    </row>
    <row r="210" spans="1:13" ht="45" x14ac:dyDescent="0.2">
      <c r="A210" s="7"/>
      <c r="B210" s="7" t="s">
        <v>441</v>
      </c>
      <c r="C210" s="6" t="str">
        <f>'РЕБ 3, септембар 19'!I1984</f>
        <v>Остваривање и унапређивање јавног интереса у области јавног информисања</v>
      </c>
      <c r="D210" s="2" t="s">
        <v>537</v>
      </c>
      <c r="E210" s="2" t="s">
        <v>538</v>
      </c>
      <c r="F210" s="4">
        <f>'РЕБ 3, септембар 19'!J1990</f>
        <v>28000000</v>
      </c>
      <c r="G210" s="4">
        <f>'РЕБ 3, септембар 19'!K1990</f>
        <v>0</v>
      </c>
      <c r="H210" s="4">
        <f>'РЕБ 3, септембар 19'!L1990</f>
        <v>28000000</v>
      </c>
    </row>
    <row r="211" spans="1:13" ht="63" customHeight="1" x14ac:dyDescent="0.2">
      <c r="A211" s="7"/>
      <c r="B211" s="7"/>
      <c r="C211" s="6" t="str">
        <f>'РЕБ 3, септембар 19'!I1940</f>
        <v>ПРОЈЕКАТ - СУФИНАНСИРАЊЕ ТЕКУЋИХ РАСХОДА И ИЗДАТАКА  ДРУГИХ СУБЈЕКАТА У КУЛТУРИ</v>
      </c>
      <c r="D211" s="2"/>
      <c r="E211" s="2"/>
      <c r="F211" s="4">
        <f>'РЕБ 3, септембар 19'!J1942</f>
        <v>4000000</v>
      </c>
      <c r="G211" s="4">
        <f>'РЕБ 3, септембар 19'!K1942</f>
        <v>0</v>
      </c>
      <c r="H211" s="4">
        <f>'РЕБ 3, септембар 19'!L1942</f>
        <v>4000000</v>
      </c>
    </row>
    <row r="212" spans="1:13" ht="30" customHeight="1" x14ac:dyDescent="0.2">
      <c r="A212" s="7"/>
      <c r="B212" s="7"/>
      <c r="C212" s="6" t="str">
        <f>'РЕБ 3, септембар 19'!I1950</f>
        <v>ПРОЈЕКАТ - ИЗРАДА СПОМЕН ОБЕЛЕЖЈА</v>
      </c>
      <c r="D212" s="2"/>
      <c r="E212" s="2"/>
      <c r="F212" s="4">
        <f>'РЕБ 3, септембар 19'!J1953</f>
        <v>2001000</v>
      </c>
      <c r="G212" s="4">
        <f>'РЕБ 3, септембар 19'!K1953</f>
        <v>0</v>
      </c>
      <c r="H212" s="4">
        <f>'РЕБ 3, септембар 19'!L1953</f>
        <v>2001000</v>
      </c>
    </row>
    <row r="213" spans="1:13" ht="27.75" customHeight="1" x14ac:dyDescent="0.2">
      <c r="A213" s="7"/>
      <c r="B213" s="7"/>
      <c r="C213" s="6" t="str">
        <f>'РЕБ 3, септембар 19'!I1956</f>
        <v>ПРОЈЕКАТ - ИЗРАДА СПОМЕН ОБЕЛЕЖЈА 2</v>
      </c>
      <c r="D213" s="2"/>
      <c r="E213" s="2"/>
      <c r="F213" s="4">
        <f>'РЕБ 3, септембар 19'!J1958</f>
        <v>1</v>
      </c>
      <c r="G213" s="4">
        <f>'РЕБ 3, септембар 19'!K1958</f>
        <v>0</v>
      </c>
      <c r="H213" s="4">
        <f>'РЕБ 3, септембар 19'!L1958</f>
        <v>1</v>
      </c>
    </row>
    <row r="214" spans="1:13" ht="72" customHeight="1" x14ac:dyDescent="0.2">
      <c r="A214" s="7"/>
      <c r="B214" s="7"/>
      <c r="C214" s="6" t="str">
        <f>'РЕБ 3, септембар 19'!I1945</f>
        <v>ПРОЈЕКАТ - СУФИНАНСИРАЊЕ ПРОЈЕКТА ЗА СНИМАЊЕ ДУГОМЕТРАЖНОГ ФИЛМА "СВЕТОЗАРЈЕ СРПСКО"</v>
      </c>
      <c r="D214" s="2"/>
      <c r="E214" s="2"/>
      <c r="F214" s="4">
        <f>'РЕБ 3, септембар 19'!J1947</f>
        <v>500000</v>
      </c>
      <c r="G214" s="4">
        <f>'РЕБ 3, септембар 19'!K1947</f>
        <v>0</v>
      </c>
      <c r="H214" s="4">
        <f>'РЕБ 3, септембар 19'!L1947</f>
        <v>500000</v>
      </c>
    </row>
    <row r="215" spans="1:13" ht="72" customHeight="1" x14ac:dyDescent="0.2">
      <c r="A215" s="7"/>
      <c r="B215" s="7"/>
      <c r="C215" s="15" t="str">
        <f>'РЕБ 3, септембар 19'!I1961</f>
        <v>ПРОЈЕКАТ - ИЗРАДА СКУЛПТУРЕ НА ТРГУ СЛОБОДЕ</v>
      </c>
      <c r="D215" s="2"/>
      <c r="E215" s="2"/>
      <c r="F215" s="4">
        <f>'РЕБ 3, септембар 19'!J1963</f>
        <v>3000000</v>
      </c>
      <c r="G215" s="4">
        <f>'РЕБ 3, септембар 19'!K1963</f>
        <v>0</v>
      </c>
      <c r="H215" s="4">
        <f>'РЕБ 3, септембар 19'!L1963</f>
        <v>3000000</v>
      </c>
    </row>
    <row r="216" spans="1:13" ht="27.75" customHeight="1" x14ac:dyDescent="0.2">
      <c r="A216" s="7"/>
      <c r="B216" s="7"/>
      <c r="C216" s="15" t="str">
        <f>'РЕБ 3, септембар 19'!I1992</f>
        <v xml:space="preserve">ПРОЈЕКАТ - Општинске културне манифестације </v>
      </c>
      <c r="D216" s="2"/>
      <c r="E216" s="2"/>
      <c r="F216" s="4">
        <f>'РЕБ 3, септембар 19'!J2000</f>
        <v>14274001</v>
      </c>
      <c r="G216" s="4">
        <f>'РЕБ 3, септембар 19'!K2000</f>
        <v>0</v>
      </c>
      <c r="H216" s="4">
        <f>'РЕБ 3, септембар 19'!L2000</f>
        <v>14274001</v>
      </c>
    </row>
    <row r="217" spans="1:13" ht="33.75" x14ac:dyDescent="0.2">
      <c r="A217" s="31" t="s">
        <v>240</v>
      </c>
      <c r="B217" s="31"/>
      <c r="C217" s="32" t="s">
        <v>407</v>
      </c>
      <c r="D217" s="32" t="s">
        <v>539</v>
      </c>
      <c r="E217" s="32" t="s">
        <v>540</v>
      </c>
      <c r="F217" s="33">
        <f>SUM(F218:F237)</f>
        <v>575323311.59000003</v>
      </c>
      <c r="G217" s="33">
        <f t="shared" ref="G217:H217" si="11">SUM(G218:G237)</f>
        <v>0</v>
      </c>
      <c r="H217" s="33">
        <f t="shared" si="11"/>
        <v>575323311.59000003</v>
      </c>
      <c r="L217" s="78"/>
    </row>
    <row r="218" spans="1:13" ht="33.75" x14ac:dyDescent="0.2">
      <c r="A218" s="11"/>
      <c r="B218" s="7" t="s">
        <v>266</v>
      </c>
      <c r="C218" s="8" t="str">
        <f>'РЕБ 3, септембар 19'!I2006</f>
        <v>Подршка локалним спортским организацијама, удружењима и савезима</v>
      </c>
      <c r="D218" s="8" t="s">
        <v>541</v>
      </c>
      <c r="E218" s="8" t="s">
        <v>542</v>
      </c>
      <c r="F218" s="3">
        <f>'РЕБ 3, септембар 19'!J2012</f>
        <v>125000000</v>
      </c>
      <c r="G218" s="3">
        <f>'РЕБ 3, септембар 19'!K2012</f>
        <v>0</v>
      </c>
      <c r="H218" s="3">
        <f>'РЕБ 3, септембар 19'!L2012</f>
        <v>125000000</v>
      </c>
    </row>
    <row r="219" spans="1:13" ht="22.5" x14ac:dyDescent="0.2">
      <c r="A219" s="7"/>
      <c r="B219" s="7" t="s">
        <v>465</v>
      </c>
      <c r="C219" s="6" t="str">
        <f>'РЕБ 3, септембар 19'!I2016</f>
        <v>Функционисање локалних спортских установа</v>
      </c>
      <c r="D219" s="2" t="s">
        <v>543</v>
      </c>
      <c r="E219" s="2" t="s">
        <v>544</v>
      </c>
      <c r="F219" s="4">
        <f>'РЕБ 3, септембар 19'!J2056+'РЕБ 3, септембар 19'!J2021</f>
        <v>80078400</v>
      </c>
      <c r="G219" s="4">
        <f>'РЕБ 3, септембар 19'!K2056+'РЕБ 3, септембар 19'!K2021</f>
        <v>0</v>
      </c>
      <c r="H219" s="4">
        <f>'РЕБ 3, септембар 19'!L2056+'РЕБ 3, септембар 19'!L2021</f>
        <v>80078400</v>
      </c>
    </row>
    <row r="220" spans="1:13" ht="27.75" customHeight="1" x14ac:dyDescent="0.2">
      <c r="A220" s="7"/>
      <c r="B220" s="7" t="s">
        <v>733</v>
      </c>
      <c r="C220" s="6" t="str">
        <f>'РЕБ 3, септембар 19'!I2025</f>
        <v>Спровођење омладинске политике</v>
      </c>
      <c r="D220" s="2"/>
      <c r="E220" s="2"/>
      <c r="F220" s="4">
        <f>'РЕБ 3, септембар 19'!J2032</f>
        <v>705750</v>
      </c>
      <c r="G220" s="4">
        <f>'РЕБ 3, септембар 19'!K2032</f>
        <v>0</v>
      </c>
      <c r="H220" s="4">
        <f>'РЕБ 3, септембар 19'!L2032</f>
        <v>705750</v>
      </c>
      <c r="K220" s="78"/>
    </row>
    <row r="221" spans="1:13" ht="39.75" customHeight="1" x14ac:dyDescent="0.2">
      <c r="A221" s="7"/>
      <c r="B221" s="7"/>
      <c r="C221" s="6" t="str">
        <f>'РЕБ 3, септембар 19'!I2147</f>
        <v>ПРОЈЕКАТ - СОЦИЈАЛНА ИНТЕГРАЦИЈА КРОЗ ПАРАСПОРТ - PARAINSPIRED</v>
      </c>
      <c r="D221" s="2"/>
      <c r="E221" s="2"/>
      <c r="F221" s="4">
        <f>'РЕБ 3, септембар 19'!J2151</f>
        <v>3000000</v>
      </c>
      <c r="G221" s="4">
        <f>'РЕБ 3, септембар 19'!K2151</f>
        <v>0</v>
      </c>
      <c r="H221" s="4">
        <f>'РЕБ 3, септембар 19'!L2151</f>
        <v>3000000</v>
      </c>
      <c r="K221" s="78"/>
    </row>
    <row r="222" spans="1:13" ht="23.25" customHeight="1" x14ac:dyDescent="0.2">
      <c r="A222" s="7"/>
      <c r="B222" s="7"/>
      <c r="C222" s="6" t="str">
        <f>'РЕБ 3, септембар 19'!I2038</f>
        <v>ПРОЈЕКАТ  - Услуге закупа клизалишта</v>
      </c>
      <c r="D222" s="2"/>
      <c r="E222" s="2"/>
      <c r="F222" s="4">
        <f>'РЕБ 3, септембар 19'!J2041</f>
        <v>5500000</v>
      </c>
      <c r="G222" s="4">
        <f>'РЕБ 3, септембар 19'!K2041</f>
        <v>0</v>
      </c>
      <c r="H222" s="4">
        <f>'РЕБ 3, септембар 19'!L2041</f>
        <v>5500000</v>
      </c>
    </row>
    <row r="223" spans="1:13" ht="56.25" customHeight="1" x14ac:dyDescent="0.2">
      <c r="A223" s="7"/>
      <c r="B223" s="7"/>
      <c r="C223" s="6" t="str">
        <f>'РЕБ 3, септембар 19'!I2043</f>
        <v xml:space="preserve">ПРОЈЕКАТ  - Прибављање монтажно-демонтажног спортског објекта </v>
      </c>
      <c r="D223" s="2"/>
      <c r="E223" s="2"/>
      <c r="F223" s="4">
        <f>'РЕБ 3, септембар 19'!J2046</f>
        <v>13000000</v>
      </c>
      <c r="G223" s="4">
        <f>'РЕБ 3, септембар 19'!K2046</f>
        <v>0</v>
      </c>
      <c r="H223" s="4">
        <f>'РЕБ 3, септембар 19'!L2046</f>
        <v>13000000</v>
      </c>
    </row>
    <row r="224" spans="1:13" ht="90.75" customHeight="1" x14ac:dyDescent="0.2">
      <c r="A224" s="7"/>
      <c r="B224" s="7"/>
      <c r="C224" s="6" t="str">
        <f>'РЕБ 3, септембар 19'!I2060</f>
        <v>ПРОЈЕКАТ - Припрема, допуна документације и исходовање документације за завршетак радова на спортској хали у Инђији до добијања употребне дозволе и извођење радова</v>
      </c>
      <c r="D224" s="2"/>
      <c r="E224" s="2"/>
      <c r="F224" s="4">
        <f>'РЕБ 3, септембар 19'!J2064</f>
        <v>30001000</v>
      </c>
      <c r="G224" s="4">
        <f>'РЕБ 3, септембар 19'!K2064</f>
        <v>0</v>
      </c>
      <c r="H224" s="4">
        <f>'РЕБ 3, септембар 19'!L2064</f>
        <v>30001000</v>
      </c>
    </row>
    <row r="225" spans="1:12" ht="86.25" customHeight="1" x14ac:dyDescent="0.2">
      <c r="A225" s="7"/>
      <c r="B225" s="7"/>
      <c r="C225" s="6" t="str">
        <f>'РЕБ 3, септембар 19'!I2066</f>
        <v>ПРОЈЕКАТ  - Израда плана детаљне регулације дела блока 9 у насељу Бешка намењеном за спортско рекреативне садржаје и изградњу спортске сале</v>
      </c>
      <c r="D225" s="2"/>
      <c r="E225" s="2"/>
      <c r="F225" s="4">
        <f>'РЕБ 3, септембар 19'!J2069</f>
        <v>600000</v>
      </c>
      <c r="G225" s="4">
        <f>'РЕБ 3, септембар 19'!K2069</f>
        <v>0</v>
      </c>
      <c r="H225" s="4">
        <f>'РЕБ 3, септембар 19'!L2069</f>
        <v>600000</v>
      </c>
    </row>
    <row r="226" spans="1:12" ht="34.5" customHeight="1" x14ac:dyDescent="0.2">
      <c r="A226" s="7"/>
      <c r="B226" s="7"/>
      <c r="C226" s="6" t="str">
        <f>'РЕБ 3, септембар 19'!I2071</f>
        <v>ПРОЈЕКАТ  - Изградња спортске хале у Бешки прва фаза</v>
      </c>
      <c r="D226" s="2"/>
      <c r="E226" s="2"/>
      <c r="F226" s="4">
        <f>'РЕБ 3, септембар 19'!J2077</f>
        <v>33501000</v>
      </c>
      <c r="G226" s="4">
        <f>'РЕБ 3, септембар 19'!K2077</f>
        <v>0</v>
      </c>
      <c r="H226" s="4">
        <f>'РЕБ 3, септембар 19'!L2077</f>
        <v>33501000</v>
      </c>
    </row>
    <row r="227" spans="1:12" ht="46.5" customHeight="1" x14ac:dyDescent="0.2">
      <c r="A227" s="7"/>
      <c r="B227" s="7"/>
      <c r="C227" s="6" t="str">
        <f>'РЕБ 3, септембар 19'!I2079</f>
        <v>ПРОЈЕКАТ - Израда пројектне документације реконструкције стадиона Хајдук у Бешки</v>
      </c>
      <c r="D227" s="2"/>
      <c r="E227" s="2"/>
      <c r="F227" s="4">
        <f>'РЕБ 3, септембар 19'!J2082</f>
        <v>600000</v>
      </c>
      <c r="G227" s="4">
        <f>'РЕБ 3, септембар 19'!K2082</f>
        <v>0</v>
      </c>
      <c r="H227" s="4">
        <f>'РЕБ 3, септембар 19'!L2082</f>
        <v>600000</v>
      </c>
    </row>
    <row r="228" spans="1:12" ht="60" customHeight="1" x14ac:dyDescent="0.2">
      <c r="A228" s="7"/>
      <c r="B228" s="7"/>
      <c r="C228" s="15" t="str">
        <f>'РЕБ 3, септембар 19'!I2084</f>
        <v>ПРОЈЕКАТ  - Израда пројектне документације и извођење радова за хидромасажни базен и плато</v>
      </c>
      <c r="D228" s="2"/>
      <c r="E228" s="2"/>
      <c r="F228" s="4">
        <f>'РЕБ 3, септембар 19'!J2087</f>
        <v>1000000</v>
      </c>
      <c r="G228" s="4">
        <f>'РЕБ 3, септембар 19'!K2087</f>
        <v>0</v>
      </c>
      <c r="H228" s="4">
        <f>'РЕБ 3, септембар 19'!L2087</f>
        <v>1000000</v>
      </c>
    </row>
    <row r="229" spans="1:12" ht="27.75" customHeight="1" x14ac:dyDescent="0.2">
      <c r="A229" s="7"/>
      <c r="B229" s="7"/>
      <c r="C229" s="6" t="str">
        <f>'РЕБ 3, септембар 19'!I2089</f>
        <v xml:space="preserve">ПРОЈЕКАТ - Уређење градског  базена </v>
      </c>
      <c r="D229" s="2"/>
      <c r="E229" s="2"/>
      <c r="F229" s="4">
        <f>'РЕБ 3, септембар 19'!J2092</f>
        <v>5280000</v>
      </c>
      <c r="G229" s="4">
        <f>'РЕБ 3, септембар 19'!K2092</f>
        <v>0</v>
      </c>
      <c r="H229" s="4">
        <f>'РЕБ 3, септембар 19'!L2092</f>
        <v>5280000</v>
      </c>
    </row>
    <row r="230" spans="1:12" ht="58.5" customHeight="1" x14ac:dyDescent="0.2">
      <c r="A230" s="7"/>
      <c r="B230" s="7"/>
      <c r="C230" s="6" t="str">
        <f>'РЕБ 3, септембар 19'!I2094</f>
        <v>ПРОЈЕКАТ - Израда пројектне документације и изградња тротоара око спортске хале у Инђији</v>
      </c>
      <c r="D230" s="2"/>
      <c r="E230" s="2"/>
      <c r="F230" s="4">
        <f>'РЕБ 3, септембар 19'!J2097</f>
        <v>1700000</v>
      </c>
      <c r="G230" s="4">
        <f>'РЕБ 3, септембар 19'!K2097</f>
        <v>0</v>
      </c>
      <c r="H230" s="4">
        <f>'РЕБ 3, септембар 19'!L2097</f>
        <v>1700000</v>
      </c>
    </row>
    <row r="231" spans="1:12" ht="49.5" customHeight="1" x14ac:dyDescent="0.2">
      <c r="A231" s="7"/>
      <c r="B231" s="7"/>
      <c r="C231" s="6" t="str">
        <f>'РЕБ 3, септембар 19'!I2099</f>
        <v>ПРОЈЕКАТ - Израда пројекта и изградња на спортским теренима у Лејама - прва фаза</v>
      </c>
      <c r="D231" s="2"/>
      <c r="E231" s="2"/>
      <c r="F231" s="4">
        <f>'РЕБ 3, септембар 19'!J2103</f>
        <v>14281000</v>
      </c>
      <c r="G231" s="4">
        <f>'РЕБ 3, септембар 19'!K2103</f>
        <v>0</v>
      </c>
      <c r="H231" s="4">
        <f>'РЕБ 3, септембар 19'!L2103</f>
        <v>14281000</v>
      </c>
    </row>
    <row r="232" spans="1:12" ht="50.25" customHeight="1" x14ac:dyDescent="0.2">
      <c r="A232" s="7"/>
      <c r="B232" s="7"/>
      <c r="C232" s="6" t="str">
        <f>'РЕБ 3, септембар 19'!I2105</f>
        <v>ПРОЈЕКАТ  - Израда пројекта и изградња трим стазе са јавним осветљењем у Лејама</v>
      </c>
      <c r="D232" s="2"/>
      <c r="E232" s="2"/>
      <c r="F232" s="4">
        <f>'РЕБ 3, септембар 19'!J2110</f>
        <v>12853000</v>
      </c>
      <c r="G232" s="4">
        <f>'РЕБ 3, септембар 19'!K2110</f>
        <v>0</v>
      </c>
      <c r="H232" s="4">
        <f>'РЕБ 3, септембар 19'!L2110</f>
        <v>12853000</v>
      </c>
    </row>
    <row r="233" spans="1:12" ht="50.25" customHeight="1" x14ac:dyDescent="0.2">
      <c r="A233" s="7"/>
      <c r="B233" s="7"/>
      <c r="C233" s="6" t="str">
        <f>'РЕБ 3, септембар 19'!I2112</f>
        <v>ПРОЈЕКАТ - Изградња спортске сале у Инђији - IV фаза</v>
      </c>
      <c r="D233" s="2"/>
      <c r="E233" s="2"/>
      <c r="F233" s="4">
        <f>'РЕБ 3, септембар 19'!J2117</f>
        <v>86849329.590000004</v>
      </c>
      <c r="G233" s="4">
        <f>'РЕБ 3, септембар 19'!K2117</f>
        <v>0</v>
      </c>
      <c r="H233" s="4">
        <f>'РЕБ 3, септембар 19'!L2117</f>
        <v>86849329.590000004</v>
      </c>
    </row>
    <row r="234" spans="1:12" ht="51" customHeight="1" x14ac:dyDescent="0.2">
      <c r="A234" s="7"/>
      <c r="B234" s="7"/>
      <c r="C234" s="6" t="str">
        <f>'РЕБ 3, септембар 19'!I2119</f>
        <v>ПРОЈЕКАТ  - Завршетак радова на спортској хали у Инђији</v>
      </c>
      <c r="D234" s="2"/>
      <c r="E234" s="2"/>
      <c r="F234" s="4">
        <f>'РЕБ 3, септембар 19'!J2124</f>
        <v>133000000</v>
      </c>
      <c r="G234" s="4">
        <f>'РЕБ 3, септембар 19'!K2124</f>
        <v>0</v>
      </c>
      <c r="H234" s="4">
        <f>'РЕБ 3, септембар 19'!L2124</f>
        <v>133000000</v>
      </c>
    </row>
    <row r="235" spans="1:12" ht="60" customHeight="1" x14ac:dyDescent="0.2">
      <c r="A235" s="7"/>
      <c r="B235" s="7"/>
      <c r="C235" s="6" t="str">
        <f>'РЕБ 3, септембар 19'!I2126</f>
        <v>ПРОЈЕКАТ  - Санација отвореног школског терена у ОШ "Бранко Радичевић" у Марадику</v>
      </c>
      <c r="D235" s="2"/>
      <c r="E235" s="2"/>
      <c r="F235" s="4">
        <f>'РЕБ 3, септембар 19'!J2131</f>
        <v>3828840</v>
      </c>
      <c r="G235" s="4">
        <f>'РЕБ 3, септембар 19'!K2131</f>
        <v>0</v>
      </c>
      <c r="H235" s="4">
        <f>'РЕБ 3, септембар 19'!L2131</f>
        <v>3828840</v>
      </c>
    </row>
    <row r="236" spans="1:12" ht="60" customHeight="1" x14ac:dyDescent="0.2">
      <c r="A236" s="7"/>
      <c r="B236" s="7"/>
      <c r="C236" s="6" t="str">
        <f>'РЕБ 3, септембар 19'!I2133</f>
        <v>ПРОЈЕКАТ  - Спортски терен у Бешки</v>
      </c>
      <c r="D236" s="2"/>
      <c r="E236" s="2"/>
      <c r="F236" s="4">
        <f>'РЕБ 3, септембар 19'!J2137</f>
        <v>4644992</v>
      </c>
      <c r="G236" s="4">
        <f>'РЕБ 3, септембар 19'!K2137</f>
        <v>0</v>
      </c>
      <c r="H236" s="4">
        <f>'РЕБ 3, септембар 19'!L2137</f>
        <v>4644992</v>
      </c>
    </row>
    <row r="237" spans="1:12" ht="32.25" customHeight="1" x14ac:dyDescent="0.2">
      <c r="A237" s="7"/>
      <c r="B237" s="7"/>
      <c r="C237" s="6" t="str">
        <f>'РЕБ 3, септембар 19'!I2140</f>
        <v>ПРОЈЕКАТ  - ИНВЕСТИЦИЈЕ У СПОРТУ -Израда пројектне документације, изградња и опремање објекта Академије спорта у Лејама</v>
      </c>
      <c r="D237" s="2"/>
      <c r="E237" s="2"/>
      <c r="F237" s="4">
        <f>'РЕБ 3, септембар 19'!J2144</f>
        <v>19900000</v>
      </c>
      <c r="G237" s="4">
        <f>'РЕБ 3, септембар 19'!K2144</f>
        <v>0</v>
      </c>
      <c r="H237" s="4">
        <f>'РЕБ 3, септембар 19'!L2144</f>
        <v>19900000</v>
      </c>
    </row>
    <row r="238" spans="1:12" ht="56.25" x14ac:dyDescent="0.2">
      <c r="A238" s="31" t="s">
        <v>239</v>
      </c>
      <c r="B238" s="31"/>
      <c r="C238" s="32" t="s">
        <v>545</v>
      </c>
      <c r="D238" s="32" t="s">
        <v>580</v>
      </c>
      <c r="E238" s="32" t="s">
        <v>546</v>
      </c>
      <c r="F238" s="33">
        <f>SUM(F239:F262)</f>
        <v>729542490.4000001</v>
      </c>
      <c r="G238" s="33">
        <f t="shared" ref="G238:H238" si="12">SUM(G239:G262)</f>
        <v>0</v>
      </c>
      <c r="H238" s="33">
        <f t="shared" si="12"/>
        <v>729542490.4000001</v>
      </c>
      <c r="L238" s="78"/>
    </row>
    <row r="239" spans="1:12" ht="33.75" x14ac:dyDescent="0.2">
      <c r="A239" s="11"/>
      <c r="B239" s="11" t="s">
        <v>262</v>
      </c>
      <c r="C239" s="6" t="str">
        <f>'РЕБ 3, септембар 19'!I336</f>
        <v>Функционисање локалне самоуправе и градских општина</v>
      </c>
      <c r="D239" s="6" t="s">
        <v>547</v>
      </c>
      <c r="E239" s="6" t="s">
        <v>548</v>
      </c>
      <c r="F239" s="3">
        <f>'РЕБ 3, септембар 19'!J367</f>
        <v>538146659.18000007</v>
      </c>
      <c r="G239" s="3">
        <f>'РЕБ 3, септембар 19'!K367</f>
        <v>0</v>
      </c>
      <c r="H239" s="3">
        <f>'РЕБ 3, септембар 19'!L367</f>
        <v>538146659.18000007</v>
      </c>
    </row>
    <row r="240" spans="1:12" ht="45" x14ac:dyDescent="0.2">
      <c r="A240" s="11"/>
      <c r="B240" s="11" t="s">
        <v>268</v>
      </c>
      <c r="C240" s="6" t="str">
        <f>'РЕБ 3, септембар 19'!I2202</f>
        <v>Функционисање месних заједница</v>
      </c>
      <c r="D240" s="6" t="s">
        <v>581</v>
      </c>
      <c r="E240" s="6" t="s">
        <v>549</v>
      </c>
      <c r="F240" s="3">
        <f>'РЕБ 3, септембар 19'!J2227</f>
        <v>32891715.620000001</v>
      </c>
      <c r="G240" s="3">
        <f>'РЕБ 3, септембар 19'!K2227</f>
        <v>0</v>
      </c>
      <c r="H240" s="3">
        <f>'РЕБ 3, септембар 19'!L2227</f>
        <v>32891715.620000001</v>
      </c>
    </row>
    <row r="241" spans="1:12" ht="33.75" x14ac:dyDescent="0.2">
      <c r="A241" s="11"/>
      <c r="B241" s="11" t="s">
        <v>413</v>
      </c>
      <c r="C241" s="6" t="str">
        <f>'РЕБ 3, септембар 19'!I274</f>
        <v>Општинско/градско правобранилаштво</v>
      </c>
      <c r="D241" s="6" t="s">
        <v>550</v>
      </c>
      <c r="E241" s="6" t="s">
        <v>551</v>
      </c>
      <c r="F241" s="3">
        <f>'РЕБ 3, септембар 19'!J289</f>
        <v>4636500</v>
      </c>
      <c r="G241" s="3">
        <f>'РЕБ 3, септембар 19'!K289</f>
        <v>0</v>
      </c>
      <c r="H241" s="3">
        <f>'РЕБ 3, септембар 19'!L289</f>
        <v>4636500</v>
      </c>
    </row>
    <row r="242" spans="1:12" x14ac:dyDescent="0.2">
      <c r="A242" s="11"/>
      <c r="B242" s="11" t="s">
        <v>433</v>
      </c>
      <c r="C242" s="6" t="str">
        <f>'РЕБ 3, септембар 19'!I2158</f>
        <v>Текућа буџетска резерва</v>
      </c>
      <c r="D242" s="2"/>
      <c r="E242" s="2"/>
      <c r="F242" s="4">
        <f>'РЕБ 3, септембар 19'!J2163</f>
        <v>33027112.399999999</v>
      </c>
      <c r="G242" s="4">
        <f>'РЕБ 3, септембар 19'!K2163</f>
        <v>0</v>
      </c>
      <c r="H242" s="4">
        <f>'РЕБ 3, септембар 19'!L2163</f>
        <v>33027112.399999999</v>
      </c>
    </row>
    <row r="243" spans="1:12" x14ac:dyDescent="0.2">
      <c r="A243" s="11"/>
      <c r="B243" s="11" t="s">
        <v>264</v>
      </c>
      <c r="C243" s="6" t="str">
        <f>'РЕБ 3, септембар 19'!I2169</f>
        <v>Стална буџетска резерва</v>
      </c>
      <c r="D243" s="2"/>
      <c r="E243" s="2"/>
      <c r="F243" s="4">
        <f>'РЕБ 3, септембар 19'!J2172</f>
        <v>1800000</v>
      </c>
      <c r="G243" s="4">
        <f>'РЕБ 3, септембар 19'!K2172</f>
        <v>0</v>
      </c>
      <c r="H243" s="4">
        <f>'РЕБ 3, септембар 19'!L2172</f>
        <v>1800000</v>
      </c>
    </row>
    <row r="244" spans="1:12" x14ac:dyDescent="0.2">
      <c r="A244" s="11"/>
      <c r="B244" s="11" t="s">
        <v>689</v>
      </c>
      <c r="C244" s="6" t="str">
        <f>'РЕБ 3, септембар 19'!I370</f>
        <v>Сервисирање јавног дуга</v>
      </c>
      <c r="D244" s="2"/>
      <c r="E244" s="2"/>
      <c r="F244" s="4">
        <f>'РЕБ 3, септембар 19'!J373</f>
        <v>6550000</v>
      </c>
      <c r="G244" s="4">
        <f>'РЕБ 3, септембар 19'!K373</f>
        <v>0</v>
      </c>
      <c r="H244" s="4">
        <f>'РЕБ 3, септембар 19'!L373</f>
        <v>6550000</v>
      </c>
    </row>
    <row r="245" spans="1:12" ht="43.5" customHeight="1" x14ac:dyDescent="0.2">
      <c r="A245" s="11"/>
      <c r="B245" s="11"/>
      <c r="C245" s="13" t="str">
        <f>'РЕБ 3, септембар 19'!I376</f>
        <v>ПРОЈЕКАТ - Модернизација рада Скупштине општине Инђија</v>
      </c>
      <c r="D245" s="2"/>
      <c r="E245" s="2"/>
      <c r="F245" s="4">
        <f>'РЕБ 3, септембар 19'!J378</f>
        <v>6890500.2000000002</v>
      </c>
      <c r="G245" s="4">
        <f>'РЕБ 3, септембар 19'!K378</f>
        <v>0</v>
      </c>
      <c r="H245" s="4">
        <f>'РЕБ 3, септембар 19'!L378</f>
        <v>6890500.2000000002</v>
      </c>
    </row>
    <row r="246" spans="1:12" ht="55.5" customHeight="1" x14ac:dyDescent="0.2">
      <c r="A246" s="11"/>
      <c r="B246" s="11"/>
      <c r="C246" s="13" t="str">
        <f>'РЕБ 3, септембар 19'!I382</f>
        <v>ПРОЈЕКАТ - Реконструкција зграде Месне заједнице у Старом Сланкамену</v>
      </c>
      <c r="D246" s="2"/>
      <c r="E246" s="2"/>
      <c r="F246" s="4">
        <f>'РЕБ 3, септембар 19'!J385</f>
        <v>2380000</v>
      </c>
      <c r="G246" s="4">
        <f>'РЕБ 3, септембар 19'!K385</f>
        <v>0</v>
      </c>
      <c r="H246" s="4">
        <f>'РЕБ 3, септембар 19'!L385</f>
        <v>2380000</v>
      </c>
      <c r="L246" s="78"/>
    </row>
    <row r="247" spans="1:12" ht="57.75" customHeight="1" x14ac:dyDescent="0.2">
      <c r="A247" s="11"/>
      <c r="B247" s="11"/>
      <c r="C247" s="94" t="str">
        <f>'РЕБ 3, септембар 19'!I388</f>
        <v xml:space="preserve">ПРОЈЕКАТ - Израда пројектне документације, адаптација и реконструкција  "Виле Љубица" у Сутомору </v>
      </c>
      <c r="D247" s="2"/>
      <c r="E247" s="2"/>
      <c r="F247" s="4">
        <f>'РЕБ 3, септембар 19'!J391</f>
        <v>2</v>
      </c>
      <c r="G247" s="4">
        <f>'РЕБ 3, септембар 19'!K391</f>
        <v>0</v>
      </c>
      <c r="H247" s="4">
        <f>'РЕБ 3, септембар 19'!L391</f>
        <v>2</v>
      </c>
      <c r="L247" s="78"/>
    </row>
    <row r="248" spans="1:12" ht="47.25" customHeight="1" x14ac:dyDescent="0.2">
      <c r="A248" s="11"/>
      <c r="B248" s="11"/>
      <c r="C248" s="94" t="str">
        <f>'РЕБ 3, септембар 19'!I394</f>
        <v xml:space="preserve">ПРОЈЕКАТ - Бесповратно суфинансирање активности на уређењу фасада зграда </v>
      </c>
      <c r="D248" s="2"/>
      <c r="E248" s="2"/>
      <c r="F248" s="4">
        <f>'РЕБ 3, септембар 19'!J396</f>
        <v>10000000</v>
      </c>
      <c r="G248" s="4">
        <f>'РЕБ 3, септембар 19'!K396</f>
        <v>0</v>
      </c>
      <c r="H248" s="4">
        <f>'РЕБ 3, септембар 19'!L396</f>
        <v>10000000</v>
      </c>
      <c r="L248" s="78"/>
    </row>
    <row r="249" spans="1:12" ht="56.25" customHeight="1" x14ac:dyDescent="0.2">
      <c r="A249" s="11"/>
      <c r="B249" s="11"/>
      <c r="C249" s="13" t="str">
        <f>'РЕБ 3, септембар 19'!I399</f>
        <v>ПРОЈЕКАТ  - Израда пројектне документације и реконструкција крова и фасаде на објекту МЗ Нови Сланкамен</v>
      </c>
      <c r="D249" s="2"/>
      <c r="E249" s="2"/>
      <c r="F249" s="4">
        <f>'РЕБ 3, септембар 19'!J403</f>
        <v>7800000</v>
      </c>
      <c r="G249" s="4">
        <f>'РЕБ 3, септембар 19'!K403</f>
        <v>0</v>
      </c>
      <c r="H249" s="4">
        <f>'РЕБ 3, септембар 19'!L403</f>
        <v>7800000</v>
      </c>
    </row>
    <row r="250" spans="1:12" ht="33.75" customHeight="1" x14ac:dyDescent="0.2">
      <c r="A250" s="11"/>
      <c r="B250" s="11"/>
      <c r="C250" s="13" t="str">
        <f>'РЕБ 3, септембар 19'!I407</f>
        <v>ПРОЈЕКАТ  - ПОБОЉШАЊЕ СТАНДАРДА СТУДЕНАТА</v>
      </c>
      <c r="D250" s="2"/>
      <c r="E250" s="2"/>
      <c r="F250" s="4">
        <f>'РЕБ 3, септембар 19'!J410</f>
        <v>20500000</v>
      </c>
      <c r="G250" s="4">
        <f>'РЕБ 3, септембар 19'!K410</f>
        <v>0</v>
      </c>
      <c r="H250" s="4">
        <f>'РЕБ 3, септембар 19'!L410</f>
        <v>20500000</v>
      </c>
    </row>
    <row r="251" spans="1:12" ht="37.5" customHeight="1" x14ac:dyDescent="0.2">
      <c r="A251" s="11"/>
      <c r="B251" s="11"/>
      <c r="C251" s="13" t="str">
        <f>'РЕБ 3, септембар 19'!I416</f>
        <v>ПРОЈЕКАТ - ПОКЛОНИ ЗА ВУКОВЦЕ</v>
      </c>
      <c r="D251" s="2"/>
      <c r="E251" s="2"/>
      <c r="F251" s="4">
        <f>'РЕБ 3, септембар 19'!J418</f>
        <v>6000000</v>
      </c>
      <c r="G251" s="4">
        <f>'РЕБ 3, септембар 19'!K418</f>
        <v>0</v>
      </c>
      <c r="H251" s="4">
        <f>'РЕБ 3, септембар 19'!L418</f>
        <v>6000000</v>
      </c>
    </row>
    <row r="252" spans="1:12" ht="34.5" customHeight="1" x14ac:dyDescent="0.2">
      <c r="A252" s="11"/>
      <c r="B252" s="11"/>
      <c r="C252" s="13" t="str">
        <f>'РЕБ 3, септембар 19'!I423</f>
        <v>ПРОЈЕКАТ- ПОКЛОНИ ЗА ИСТАКНУТЕ УЧЕНИКЕ И СПОРТИСТЕ</v>
      </c>
      <c r="D252" s="2"/>
      <c r="E252" s="2"/>
      <c r="F252" s="4">
        <f>'РЕБ 3, септембар 19'!J425</f>
        <v>1500000</v>
      </c>
      <c r="G252" s="4">
        <f>'РЕБ 3, септембар 19'!K425</f>
        <v>0</v>
      </c>
      <c r="H252" s="4">
        <f>'РЕБ 3, септембар 19'!L425</f>
        <v>1500000</v>
      </c>
    </row>
    <row r="253" spans="1:12" ht="24" customHeight="1" x14ac:dyDescent="0.2">
      <c r="A253" s="11"/>
      <c r="B253" s="11"/>
      <c r="C253" s="13" t="str">
        <f>'РЕБ 3, септембар 19'!I428</f>
        <v>ПРОЈЕКАТ - СТИПЕНДИЈЕ ЗА СПОРТИСТЕ</v>
      </c>
      <c r="D253" s="2"/>
      <c r="E253" s="2"/>
      <c r="F253" s="4">
        <f>'РЕБ 3, септембар 19'!J430</f>
        <v>2400000</v>
      </c>
      <c r="G253" s="4">
        <f>'РЕБ 3, септембар 19'!K430</f>
        <v>0</v>
      </c>
      <c r="H253" s="4">
        <f>'РЕБ 3, септембар 19'!L430</f>
        <v>2400000</v>
      </c>
    </row>
    <row r="254" spans="1:12" ht="32.25" customHeight="1" x14ac:dyDescent="0.2">
      <c r="A254" s="11"/>
      <c r="B254" s="11"/>
      <c r="C254" s="13" t="str">
        <f>'РЕБ 3, септембар 19'!I435</f>
        <v>ПРОЈЕКАТ - Набавка паник тастера</v>
      </c>
      <c r="D254" s="2"/>
      <c r="E254" s="2"/>
      <c r="F254" s="4">
        <f>'РЕБ 3, септембар 19'!J437</f>
        <v>6000000</v>
      </c>
      <c r="G254" s="4">
        <f>'РЕБ 3, септембар 19'!K437</f>
        <v>0</v>
      </c>
      <c r="H254" s="4">
        <f>'РЕБ 3, септембар 19'!L437</f>
        <v>6000000</v>
      </c>
    </row>
    <row r="255" spans="1:12" ht="60.75" customHeight="1" x14ac:dyDescent="0.2">
      <c r="A255" s="11"/>
      <c r="B255" s="11"/>
      <c r="C255" s="95" t="str">
        <f>'РЕБ 3, септембар 19'!I442</f>
        <v>ПРОЈЕКАТ  - Успостављање истраживачког центра Милутин Миланковић у Старом Сланкамену</v>
      </c>
      <c r="D255" s="2"/>
      <c r="E255" s="2"/>
      <c r="F255" s="4">
        <f>'РЕБ 3, септембар 19'!J444</f>
        <v>14800000</v>
      </c>
      <c r="G255" s="4">
        <f>'РЕБ 3, септембар 19'!K444</f>
        <v>0</v>
      </c>
      <c r="H255" s="4">
        <f>'РЕБ 3, септембар 19'!L444</f>
        <v>14800000</v>
      </c>
    </row>
    <row r="256" spans="1:12" ht="70.5" customHeight="1" x14ac:dyDescent="0.2">
      <c r="A256" s="11"/>
      <c r="B256" s="11"/>
      <c r="C256" s="13" t="str">
        <f>'РЕБ 3, септембар 19'!I2176</f>
        <v>ПРОЈЕКАТ - Л А П - за унапређење образовања, запошљавања, здравља и становања Рома у општини Инђија 2016-2020. година</v>
      </c>
      <c r="D256" s="2"/>
      <c r="E256" s="2"/>
      <c r="F256" s="4">
        <f>'РЕБ 3, септембар 19'!J2178</f>
        <v>22000000</v>
      </c>
      <c r="G256" s="4">
        <f>'РЕБ 3, септембар 19'!K2178</f>
        <v>0</v>
      </c>
      <c r="H256" s="4">
        <f>'РЕБ 3, септембар 19'!L2178</f>
        <v>22000000</v>
      </c>
    </row>
    <row r="257" spans="1:12" ht="37.5" customHeight="1" x14ac:dyDescent="0.2">
      <c r="A257" s="11"/>
      <c r="B257" s="11"/>
      <c r="C257" s="13" t="str">
        <f>'РЕБ 3, септембар 19'!I2181</f>
        <v>ПРОЈЕКАТ -  Санација  крова на објекту Дома културе у Новим Карловцима</v>
      </c>
      <c r="D257" s="2"/>
      <c r="E257" s="2"/>
      <c r="F257" s="4">
        <f>'РЕБ 3, септембар 19'!J2183</f>
        <v>1</v>
      </c>
      <c r="G257" s="4">
        <f>'РЕБ 3, септембар 19'!K2183</f>
        <v>0</v>
      </c>
      <c r="H257" s="4">
        <f>'РЕБ 3, септембар 19'!L2183</f>
        <v>1</v>
      </c>
    </row>
    <row r="258" spans="1:12" ht="50.25" customHeight="1" x14ac:dyDescent="0.2">
      <c r="A258" s="11"/>
      <c r="B258" s="11"/>
      <c r="C258" s="13" t="str">
        <f>'РЕБ 3, септембар 19'!I2186</f>
        <v>ПРОЈЕКАТ - Текуће одржавње фасаде и просторија амбуланте у Новим Карловцима</v>
      </c>
      <c r="D258" s="2"/>
      <c r="E258" s="2"/>
      <c r="F258" s="4">
        <f>'РЕБ 3, септембар 19'!J2189</f>
        <v>4740000</v>
      </c>
      <c r="G258" s="4">
        <f>'РЕБ 3, септембар 19'!K2189</f>
        <v>0</v>
      </c>
      <c r="H258" s="4">
        <f>'РЕБ 3, септембар 19'!L2189</f>
        <v>4740000</v>
      </c>
    </row>
    <row r="259" spans="1:12" ht="63" customHeight="1" x14ac:dyDescent="0.2">
      <c r="A259" s="11"/>
      <c r="B259" s="11"/>
      <c r="C259" s="13" t="str">
        <f>'РЕБ 3, септембар 19'!I2191</f>
        <v>ПРОЈЕКАТ - Израда техничке документације за гасификацију објекта Дома културе у Новим Карловцима</v>
      </c>
      <c r="D259" s="2"/>
      <c r="E259" s="2"/>
      <c r="F259" s="4">
        <f>'РЕБ 3, септембар 19'!J2194</f>
        <v>180000</v>
      </c>
      <c r="G259" s="4">
        <f>'РЕБ 3, септембар 19'!K2194</f>
        <v>0</v>
      </c>
      <c r="H259" s="4">
        <f>'РЕБ 3, септембар 19'!L2194</f>
        <v>180000</v>
      </c>
    </row>
    <row r="260" spans="1:12" ht="55.5" customHeight="1" x14ac:dyDescent="0.2">
      <c r="A260" s="11"/>
      <c r="B260" s="11"/>
      <c r="C260" s="13" t="str">
        <f>'РЕБ 3, септембар 19'!I2196</f>
        <v>ПРОЈЕКАТ - Израда техничке документације за реконструкцију Ловачког дома у Љукову</v>
      </c>
      <c r="D260" s="2"/>
      <c r="E260" s="2"/>
      <c r="F260" s="4">
        <f>'РЕБ 3, септембар 19'!J2199</f>
        <v>300000</v>
      </c>
      <c r="G260" s="4">
        <f>'РЕБ 3, септембар 19'!K2199</f>
        <v>0</v>
      </c>
      <c r="H260" s="4">
        <f>'РЕБ 3, септембар 19'!L2199</f>
        <v>300000</v>
      </c>
    </row>
    <row r="261" spans="1:12" ht="39.75" customHeight="1" x14ac:dyDescent="0.2">
      <c r="A261" s="11"/>
      <c r="B261" s="11"/>
      <c r="C261" s="13" t="str">
        <f>'РЕБ 3, септембар 19'!I2229</f>
        <v xml:space="preserve">ПРОЈЕКАТ  - ОПРЕМАЊЕ ДОМА КУЛТУРЕ У МАРАДИКУ </v>
      </c>
      <c r="D261" s="2"/>
      <c r="E261" s="2"/>
      <c r="F261" s="4">
        <f>'РЕБ 3, септембар 19'!J2233</f>
        <v>4000000</v>
      </c>
      <c r="G261" s="4">
        <f>'РЕБ 3, септембар 19'!K2233</f>
        <v>0</v>
      </c>
      <c r="H261" s="4">
        <f>'РЕБ 3, септембар 19'!L2233</f>
        <v>4000000</v>
      </c>
    </row>
    <row r="262" spans="1:12" ht="37.5" customHeight="1" x14ac:dyDescent="0.2">
      <c r="A262" s="11"/>
      <c r="B262" s="11"/>
      <c r="C262" s="13" t="str">
        <f>'РЕБ 3, септембар 19'!I2235</f>
        <v xml:space="preserve">ПРОЈЕКАТ  - ИЗГРАДЊА ДОМА КУЛТУРЕ У КРЧЕДИНУ </v>
      </c>
      <c r="D262" s="2"/>
      <c r="E262" s="2"/>
      <c r="F262" s="4">
        <f>'РЕБ 3, септембар 19'!J2237</f>
        <v>3000000</v>
      </c>
      <c r="G262" s="4">
        <f>'РЕБ 3, септембар 19'!K2237</f>
        <v>0</v>
      </c>
      <c r="H262" s="4">
        <f>'РЕБ 3, септембар 19'!L2237</f>
        <v>3000000</v>
      </c>
    </row>
    <row r="263" spans="1:12" ht="45" x14ac:dyDescent="0.2">
      <c r="A263" s="37">
        <v>2101</v>
      </c>
      <c r="B263" s="37"/>
      <c r="C263" s="32" t="s">
        <v>552</v>
      </c>
      <c r="D263" s="32" t="s">
        <v>553</v>
      </c>
      <c r="E263" s="32"/>
      <c r="F263" s="36">
        <f>SUM(F264:F265)</f>
        <v>93953700</v>
      </c>
      <c r="G263" s="36">
        <f t="shared" ref="G263:H263" si="13">SUM(G264:G265)</f>
        <v>0</v>
      </c>
      <c r="H263" s="36">
        <f t="shared" si="13"/>
        <v>93953700</v>
      </c>
      <c r="L263" s="78"/>
    </row>
    <row r="264" spans="1:12" ht="22.5" x14ac:dyDescent="0.2">
      <c r="A264" s="11"/>
      <c r="B264" s="11" t="s">
        <v>425</v>
      </c>
      <c r="C264" s="2" t="str">
        <f>'РЕБ 3, септембар 19'!I237</f>
        <v>Функционисање Скупштине</v>
      </c>
      <c r="D264" s="2" t="s">
        <v>554</v>
      </c>
      <c r="E264" s="2" t="s">
        <v>555</v>
      </c>
      <c r="F264" s="4">
        <f>'РЕБ 3, септембар 19'!J253+'РЕБ 3, септембар 19'!J266</f>
        <v>28860800</v>
      </c>
      <c r="G264" s="4">
        <f>'РЕБ 3, септембар 19'!K253+'РЕБ 3, септембар 19'!K266</f>
        <v>0</v>
      </c>
      <c r="H264" s="4">
        <f>'РЕБ 3, септембар 19'!L253+'РЕБ 3, септембар 19'!L266</f>
        <v>28860800</v>
      </c>
    </row>
    <row r="265" spans="1:12" ht="22.5" x14ac:dyDescent="0.2">
      <c r="A265" s="11"/>
      <c r="B265" s="11" t="s">
        <v>431</v>
      </c>
      <c r="C265" s="2" t="str">
        <f>'РЕБ 3, септембар 19'!I297</f>
        <v>Функционисање извршних органа</v>
      </c>
      <c r="D265" s="2" t="s">
        <v>556</v>
      </c>
      <c r="E265" s="2" t="s">
        <v>555</v>
      </c>
      <c r="F265" s="4">
        <f>'РЕБ 3, септембар 19'!J313+'РЕБ 3, септембар 19'!J328</f>
        <v>65092900</v>
      </c>
      <c r="G265" s="4">
        <f>'РЕБ 3, септембар 19'!K313+'РЕБ 3, септембар 19'!K328</f>
        <v>0</v>
      </c>
      <c r="H265" s="4">
        <f>'РЕБ 3, септембар 19'!L313+'РЕБ 3, септембар 19'!L328</f>
        <v>65092900</v>
      </c>
    </row>
    <row r="266" spans="1:12" ht="38.25" customHeight="1" x14ac:dyDescent="0.2">
      <c r="A266" s="818" t="s">
        <v>557</v>
      </c>
      <c r="B266" s="55"/>
      <c r="C266" s="32" t="s">
        <v>630</v>
      </c>
      <c r="D266" s="96"/>
      <c r="E266" s="96"/>
      <c r="F266" s="36">
        <f>SUM(F267:F279)</f>
        <v>107867107</v>
      </c>
      <c r="G266" s="36">
        <f t="shared" ref="G266:H266" si="14">SUM(G267:G279)</f>
        <v>0</v>
      </c>
      <c r="H266" s="36">
        <f t="shared" si="14"/>
        <v>107867107</v>
      </c>
    </row>
    <row r="267" spans="1:12" ht="45" x14ac:dyDescent="0.2">
      <c r="A267" s="11"/>
      <c r="B267" s="11" t="s">
        <v>701</v>
      </c>
      <c r="C267" s="66" t="str">
        <f>'РЕБ 3, септембар 19'!I2245</f>
        <v>Унапређење и побољшање енергетске ефикасности и употреба обновљивих извора енергије</v>
      </c>
      <c r="D267" s="2" t="s">
        <v>888</v>
      </c>
      <c r="E267" s="2" t="s">
        <v>889</v>
      </c>
      <c r="F267" s="4">
        <f>'РЕБ 3, септембар 19'!J2251</f>
        <v>73900000</v>
      </c>
      <c r="G267" s="4">
        <f>'РЕБ 3, септембар 19'!K2251</f>
        <v>0</v>
      </c>
      <c r="H267" s="4">
        <f>'РЕБ 3, септембар 19'!L2251</f>
        <v>73900000</v>
      </c>
    </row>
    <row r="268" spans="1:12" ht="113.25" customHeight="1" x14ac:dyDescent="0.2">
      <c r="A268" s="11"/>
      <c r="B268" s="11"/>
      <c r="C268" s="66" t="str">
        <f>'РЕБ 3, септембар 19'!I2256</f>
        <v>ПРОЈЕКАТ  "Израда пројектне документације за санацију и извођење радова инвестиционог одржавања и унапређења енергетске ефикасности и противпожарне заштите на објекту техничке школе и гимназије у Инђији"</v>
      </c>
      <c r="D268" s="2"/>
      <c r="E268" s="2"/>
      <c r="F268" s="4">
        <f>'РЕБ 3, септембар 19'!J2260</f>
        <v>600000</v>
      </c>
      <c r="G268" s="4">
        <f>'РЕБ 3, септембар 19'!K2260</f>
        <v>0</v>
      </c>
      <c r="H268" s="4">
        <f>'РЕБ 3, септембар 19'!L2260</f>
        <v>600000</v>
      </c>
    </row>
    <row r="269" spans="1:12" ht="51" customHeight="1" x14ac:dyDescent="0.2">
      <c r="A269" s="11"/>
      <c r="B269" s="11"/>
      <c r="C269" s="66" t="str">
        <f>'РЕБ 3, септембар 19'!I2264</f>
        <v>ПРОЈЕКАТ "Елаборат енергетске ефикасности зграде Центра за социјални рад "Дунав" у Инђији</v>
      </c>
      <c r="D269" s="2"/>
      <c r="E269" s="2"/>
      <c r="F269" s="4">
        <f>'РЕБ 3, септембар 19'!J2269</f>
        <v>108000</v>
      </c>
      <c r="G269" s="4">
        <f>'РЕБ 3, септембар 19'!K2269</f>
        <v>0</v>
      </c>
      <c r="H269" s="4">
        <f>'РЕБ 3, септембар 19'!L2269</f>
        <v>108000</v>
      </c>
    </row>
    <row r="270" spans="1:12" ht="53.25" customHeight="1" x14ac:dyDescent="0.2">
      <c r="A270" s="11"/>
      <c r="B270" s="11"/>
      <c r="C270" s="66" t="str">
        <f>'РЕБ 3, септембар 19'!I2271</f>
        <v xml:space="preserve">ПРОЈЕКАТ  - Изградња продужетака мреже јавне расвете у улицама на територији општине Инђија </v>
      </c>
      <c r="D270" s="2"/>
      <c r="E270" s="2"/>
      <c r="F270" s="4">
        <f>'РЕБ 3, септембар 19'!J2274</f>
        <v>2040000</v>
      </c>
      <c r="G270" s="4">
        <f>'РЕБ 3, септембар 19'!K2274</f>
        <v>0</v>
      </c>
      <c r="H270" s="4">
        <f>'РЕБ 3, септембар 19'!L2274</f>
        <v>2040000</v>
      </c>
    </row>
    <row r="271" spans="1:12" ht="57" customHeight="1" x14ac:dyDescent="0.2">
      <c r="A271" s="11"/>
      <c r="B271" s="11"/>
      <c r="C271" s="66" t="str">
        <f>'РЕБ 3, септембар 19'!I2276</f>
        <v>ПРОЈЕКАТ - Санација јавног осветљења у насељеном месту Јарковци у општини Инђија</v>
      </c>
      <c r="D271" s="2"/>
      <c r="E271" s="2"/>
      <c r="F271" s="4">
        <f>'РЕБ 3, септембар 19'!J2280</f>
        <v>2</v>
      </c>
      <c r="G271" s="4">
        <f>'РЕБ 3, септембар 19'!K2280</f>
        <v>0</v>
      </c>
      <c r="H271" s="4">
        <f>'РЕБ 3, септембар 19'!L2280</f>
        <v>2</v>
      </c>
    </row>
    <row r="272" spans="1:12" ht="68.25" customHeight="1" x14ac:dyDescent="0.2">
      <c r="A272" s="11"/>
      <c r="B272" s="11"/>
      <c r="C272" s="66" t="str">
        <f>'РЕБ 3, септембар 19'!I2282</f>
        <v>ПРОЈЕКАТ - Израда пројектне документације за изградњу јавне расвете у индустријској зони  Инђија - Локација 15</v>
      </c>
      <c r="D272" s="2"/>
      <c r="E272" s="2"/>
      <c r="F272" s="4">
        <f>'РЕБ 3, септембар 19'!J2286</f>
        <v>1000000</v>
      </c>
      <c r="G272" s="4">
        <f>'РЕБ 3, септембар 19'!K2286</f>
        <v>0</v>
      </c>
      <c r="H272" s="4">
        <f>'РЕБ 3, септембар 19'!L2286</f>
        <v>1000000</v>
      </c>
    </row>
    <row r="273" spans="1:12" ht="42.75" customHeight="1" x14ac:dyDescent="0.2">
      <c r="A273" s="11"/>
      <c r="B273" s="11"/>
      <c r="C273" s="66" t="str">
        <f>'РЕБ 3, септембар 19'!I2288</f>
        <v>ПРОЈЕКАТ - Изградња јавне расвете дуж саобраћајнице С2 и С3 (део) - Локација 15</v>
      </c>
      <c r="D273" s="2"/>
      <c r="E273" s="2"/>
      <c r="F273" s="4">
        <f>'РЕБ 3, септембар 19'!J2292</f>
        <v>23435104</v>
      </c>
      <c r="G273" s="4">
        <f>'РЕБ 3, септембар 19'!K2292</f>
        <v>0</v>
      </c>
      <c r="H273" s="4">
        <f>'РЕБ 3, септембар 19'!L2292</f>
        <v>23435104</v>
      </c>
    </row>
    <row r="274" spans="1:12" ht="52.5" customHeight="1" x14ac:dyDescent="0.2">
      <c r="A274" s="11"/>
      <c r="B274" s="11"/>
      <c r="C274" s="66" t="str">
        <f>'РЕБ 3, септембар 19'!I2295</f>
        <v>ПРОЈЕКАТ - Израда пројектне документације за изградњу јавне расвете у индустријској зони  Бешка</v>
      </c>
      <c r="D274" s="2"/>
      <c r="E274" s="2"/>
      <c r="F274" s="4">
        <f>'РЕБ 3, септембар 19'!J2298</f>
        <v>500000</v>
      </c>
      <c r="G274" s="4">
        <f>'РЕБ 3, септембар 19'!K2298</f>
        <v>0</v>
      </c>
      <c r="H274" s="4">
        <f>'РЕБ 3, септембар 19'!L2298</f>
        <v>500000</v>
      </c>
    </row>
    <row r="275" spans="1:12" ht="56.25" customHeight="1" x14ac:dyDescent="0.2">
      <c r="A275" s="11"/>
      <c r="B275" s="11"/>
      <c r="C275" s="66" t="str">
        <f>'РЕБ 3, септембар 19'!I2305</f>
        <v>ПРОЈЕКАТ - Израда пројектне документације за осветљење пешачких прелаза у зони школа</v>
      </c>
      <c r="D275" s="2"/>
      <c r="E275" s="2"/>
      <c r="F275" s="4">
        <f>'РЕБ 3, септембар 19'!J2308</f>
        <v>500000</v>
      </c>
      <c r="G275" s="4">
        <f>'РЕБ 3, септембар 19'!K2308</f>
        <v>0</v>
      </c>
      <c r="H275" s="4">
        <f>'РЕБ 3, септембар 19'!L2308</f>
        <v>500000</v>
      </c>
    </row>
    <row r="276" spans="1:12" ht="56.25" customHeight="1" x14ac:dyDescent="0.2">
      <c r="A276" s="11"/>
      <c r="B276" s="11"/>
      <c r="C276" s="66" t="str">
        <f>'РЕБ 3, септембар 19'!I2310</f>
        <v>ПРОЈЕКАТ - Изградња стубне трафо станице (СТС) Каменова  улица</v>
      </c>
      <c r="D276" s="2"/>
      <c r="E276" s="2"/>
      <c r="F276" s="4">
        <f>'РЕБ 3, септембар 19'!J2313</f>
        <v>4284000</v>
      </c>
      <c r="G276" s="4">
        <f>'РЕБ 3, септембар 19'!K2313</f>
        <v>0</v>
      </c>
      <c r="H276" s="4">
        <f>'РЕБ 3, септембар 19'!L2313</f>
        <v>4284000</v>
      </c>
    </row>
    <row r="277" spans="1:12" ht="43.5" customHeight="1" x14ac:dyDescent="0.2">
      <c r="A277" s="11"/>
      <c r="B277" s="11"/>
      <c r="C277" s="66" t="str">
        <f>'РЕБ 3, септембар 19'!I2315</f>
        <v>ПРОЈЕКАТ - Изградња стубне трафо станице (СТС) Новосадска</v>
      </c>
      <c r="D277" s="2"/>
      <c r="E277" s="2"/>
      <c r="F277" s="4">
        <f>'РЕБ 3, септембар 19'!J2318</f>
        <v>1</v>
      </c>
      <c r="G277" s="4">
        <f>'РЕБ 3, септембар 19'!K2318</f>
        <v>0</v>
      </c>
      <c r="H277" s="4">
        <f>'РЕБ 3, септембар 19'!L2318</f>
        <v>1</v>
      </c>
    </row>
    <row r="278" spans="1:12" ht="43.5" customHeight="1" x14ac:dyDescent="0.2">
      <c r="A278" s="11"/>
      <c r="B278" s="76"/>
      <c r="C278" s="6" t="str">
        <f>'РЕБ 3, септембар 19'!I2300</f>
        <v>ПРОЈЕКАТ - Изградњa јавне расвете у парку Данице Јовановић у  Бешки</v>
      </c>
      <c r="D278" s="2"/>
      <c r="E278" s="2"/>
      <c r="F278" s="4">
        <f>'РЕБ 3, септембар 19'!J2303</f>
        <v>1000000</v>
      </c>
      <c r="G278" s="4">
        <f>'РЕБ 3, септембар 19'!K2303</f>
        <v>0</v>
      </c>
      <c r="H278" s="4">
        <f>'РЕБ 3, септембар 19'!L2303</f>
        <v>1000000</v>
      </c>
    </row>
    <row r="279" spans="1:12" ht="61.5" customHeight="1" x14ac:dyDescent="0.2">
      <c r="A279" s="11"/>
      <c r="B279" s="11"/>
      <c r="C279" s="784" t="str">
        <f>'РЕБ 3, септембар 19'!I2320</f>
        <v>ПРОЈЕКАТ - Учешће у изградњи средњенапонског далековода од Н. Сланкамена до Сурдука</v>
      </c>
      <c r="D279" s="2"/>
      <c r="E279" s="2"/>
      <c r="F279" s="4">
        <f>'РЕБ 3, септембар 19'!J2323</f>
        <v>500000</v>
      </c>
      <c r="G279" s="4">
        <f>'РЕБ 3, септембар 19'!K2323</f>
        <v>0</v>
      </c>
      <c r="H279" s="4">
        <f>'РЕБ 3, септембар 19'!L2323</f>
        <v>500000</v>
      </c>
    </row>
    <row r="281" spans="1:12" ht="22.5" x14ac:dyDescent="0.2">
      <c r="A281" s="30"/>
      <c r="B281" s="30"/>
      <c r="C281" s="30" t="s">
        <v>408</v>
      </c>
      <c r="D281" s="30"/>
      <c r="E281" s="30"/>
      <c r="F281" s="38">
        <f>SUM(F7+F11+F49+F67+F71+F81+F94+F175+F182+F185+F188+F200+F206+F217+F238+F263+F266)</f>
        <v>5724168950</v>
      </c>
      <c r="G281" s="38">
        <f>SUM(G7+G11+G49+G67+G71+G81+G94+G175+G182+G185+G188+G200+G206+G217+G238+G263+G266)</f>
        <v>26698050</v>
      </c>
      <c r="H281" s="38">
        <f>SUM(H7+H11+H49+H67+H71+H81+H94+H175+H182+H185+H188+H200+H206+H217+H238+H263+H266)</f>
        <v>5750867000</v>
      </c>
      <c r="L281" s="78"/>
    </row>
    <row r="283" spans="1:12" x14ac:dyDescent="0.2">
      <c r="E283" s="97"/>
      <c r="F283" s="98"/>
      <c r="G283" s="98"/>
      <c r="H283" s="98"/>
    </row>
    <row r="284" spans="1:12" x14ac:dyDescent="0.2">
      <c r="E284" s="97"/>
      <c r="F284" s="98"/>
      <c r="G284" s="98"/>
      <c r="H284" s="98"/>
    </row>
    <row r="285" spans="1:12" x14ac:dyDescent="0.2">
      <c r="E285" s="99"/>
      <c r="F285" s="98"/>
      <c r="G285" s="98"/>
      <c r="H285" s="98"/>
    </row>
  </sheetData>
  <mergeCells count="8">
    <mergeCell ref="A2:H2"/>
    <mergeCell ref="G4:G5"/>
    <mergeCell ref="H4:H5"/>
    <mergeCell ref="A4:B4"/>
    <mergeCell ref="C4:C5"/>
    <mergeCell ref="D4:D5"/>
    <mergeCell ref="E4:E5"/>
    <mergeCell ref="F4:F5"/>
  </mergeCells>
  <pageMargins left="0.11811023622047245" right="0.11811023622047245" top="0.74803149606299213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РЕБ 3, септембар 19</vt:lpstr>
      <vt:lpstr>Посебан део- циљеви и индикатор</vt:lpstr>
    </vt:vector>
  </TitlesOfParts>
  <Company>OU Indjija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Nikolic</dc:creator>
  <cp:lastModifiedBy>Nena Kantar</cp:lastModifiedBy>
  <cp:lastPrinted>2019-09-12T12:33:17Z</cp:lastPrinted>
  <dcterms:created xsi:type="dcterms:W3CDTF">2012-11-06T07:08:44Z</dcterms:created>
  <dcterms:modified xsi:type="dcterms:W3CDTF">2019-09-12T12:33:41Z</dcterms:modified>
</cp:coreProperties>
</file>