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antar\Desktop\Document\IZBORI 2016 - SKUPŠTINA OPŠTINE\31.sednica SO  14.06.2019\"/>
    </mc:Choice>
  </mc:AlternateContent>
  <bookViews>
    <workbookView minimized="1" xWindow="0" yWindow="0" windowWidth="25500" windowHeight="10845"/>
  </bookViews>
  <sheets>
    <sheet name="РЕБ 2, мај 19" sheetId="1" r:id="rId1"/>
    <sheet name="Посебан део- циљеви и индикатор" sheetId="3" r:id="rId2"/>
  </sheets>
  <definedNames>
    <definedName name="Programi">OFFSET(#REF!,0,0,COUNTA(#REF!),1)</definedName>
  </definedNames>
  <calcPr calcId="152511"/>
</workbook>
</file>

<file path=xl/calcChain.xml><?xml version="1.0" encoding="utf-8"?>
<calcChain xmlns="http://schemas.openxmlformats.org/spreadsheetml/2006/main">
  <c r="J37" i="1" l="1"/>
  <c r="J58" i="1"/>
  <c r="G97" i="3" l="1"/>
  <c r="H97" i="3"/>
  <c r="F97" i="3"/>
  <c r="C97" i="3"/>
  <c r="J1037" i="1"/>
  <c r="L1049" i="1"/>
  <c r="J1048" i="1"/>
  <c r="J1047" i="1"/>
  <c r="L1048" i="1" s="1"/>
  <c r="L1046" i="1"/>
  <c r="L1047" i="1" s="1"/>
  <c r="K56" i="1" l="1"/>
  <c r="G235" i="3" l="1"/>
  <c r="G277" i="3"/>
  <c r="C277" i="3"/>
  <c r="G222" i="3"/>
  <c r="C235" i="3"/>
  <c r="C222" i="3"/>
  <c r="G214" i="3"/>
  <c r="G213" i="3"/>
  <c r="C214" i="3"/>
  <c r="C213" i="3"/>
  <c r="C143" i="3"/>
  <c r="G146" i="3"/>
  <c r="C146" i="3"/>
  <c r="G116" i="3"/>
  <c r="G115" i="3"/>
  <c r="C116" i="3"/>
  <c r="C115" i="3"/>
  <c r="C106" i="3"/>
  <c r="G51" i="3"/>
  <c r="G63" i="3"/>
  <c r="G64" i="3"/>
  <c r="G78" i="3"/>
  <c r="G91" i="3"/>
  <c r="C91" i="3"/>
  <c r="C78" i="3"/>
  <c r="C64" i="3"/>
  <c r="C63" i="3"/>
  <c r="C51" i="3"/>
  <c r="F49" i="3"/>
  <c r="G26" i="3"/>
  <c r="F26" i="3"/>
  <c r="C26" i="3"/>
  <c r="J1974" i="1" l="1"/>
  <c r="J346" i="1"/>
  <c r="J1921" i="1"/>
  <c r="L1920" i="1"/>
  <c r="L2273" i="1"/>
  <c r="L2274" i="1" s="1"/>
  <c r="H277" i="3" s="1"/>
  <c r="J2273" i="1"/>
  <c r="J2274" i="1" s="1"/>
  <c r="F277" i="3" s="1"/>
  <c r="L2272" i="1"/>
  <c r="J1147" i="1"/>
  <c r="J1299" i="1"/>
  <c r="L1921" i="1" l="1"/>
  <c r="H213" i="3" s="1"/>
  <c r="F213" i="3"/>
  <c r="J1922" i="1"/>
  <c r="L1922" i="1" s="1"/>
  <c r="J2003" i="1"/>
  <c r="L739" i="1"/>
  <c r="J740" i="1"/>
  <c r="L738" i="1"/>
  <c r="J1326" i="1"/>
  <c r="F146" i="3" s="1"/>
  <c r="L1325" i="1"/>
  <c r="J1325" i="1"/>
  <c r="L1326" i="1" s="1"/>
  <c r="H146" i="3" s="1"/>
  <c r="L1324" i="1"/>
  <c r="L1323" i="1"/>
  <c r="L462" i="1"/>
  <c r="J463" i="1"/>
  <c r="J1937" i="1"/>
  <c r="L1936" i="1"/>
  <c r="J2115" i="1"/>
  <c r="J2110" i="1"/>
  <c r="L2109" i="1"/>
  <c r="L2107" i="1"/>
  <c r="J2019" i="1"/>
  <c r="L2019" i="1" s="1"/>
  <c r="L2018" i="1"/>
  <c r="L1973" i="1"/>
  <c r="J954" i="1"/>
  <c r="L953" i="1"/>
  <c r="J349" i="1"/>
  <c r="J1181" i="1"/>
  <c r="J1165" i="1"/>
  <c r="J1164" i="1"/>
  <c r="J1159" i="1"/>
  <c r="J1158" i="1"/>
  <c r="L2110" i="1" l="1"/>
  <c r="H235" i="3" s="1"/>
  <c r="F235" i="3"/>
  <c r="J741" i="1"/>
  <c r="L741" i="1" s="1"/>
  <c r="F51" i="3"/>
  <c r="L954" i="1"/>
  <c r="H78" i="3" s="1"/>
  <c r="F78" i="3"/>
  <c r="L1937" i="1"/>
  <c r="H214" i="3" s="1"/>
  <c r="F214" i="3"/>
  <c r="L740" i="1"/>
  <c r="H51" i="3" s="1"/>
  <c r="J2020" i="1"/>
  <c r="J1938" i="1"/>
  <c r="L1938" i="1" s="1"/>
  <c r="J2108" i="1"/>
  <c r="L2108" i="1" s="1"/>
  <c r="J955" i="1"/>
  <c r="L955" i="1" s="1"/>
  <c r="J1300" i="1"/>
  <c r="J1301" i="1" s="1"/>
  <c r="L1298" i="1"/>
  <c r="L990" i="1"/>
  <c r="J988" i="1"/>
  <c r="L987" i="1"/>
  <c r="L988" i="1" s="1"/>
  <c r="H91" i="3" s="1"/>
  <c r="J326" i="1"/>
  <c r="J989" i="1" l="1"/>
  <c r="L989" i="1" s="1"/>
  <c r="F91" i="3"/>
  <c r="L2020" i="1"/>
  <c r="H222" i="3" s="1"/>
  <c r="F222" i="3"/>
  <c r="J1345" i="1"/>
  <c r="J1311" i="1"/>
  <c r="J1310" i="1"/>
  <c r="L1304" i="1"/>
  <c r="L1181" i="1"/>
  <c r="J1160" i="1"/>
  <c r="J1161" i="1" s="1"/>
  <c r="F115" i="3" s="1"/>
  <c r="J1305" i="1"/>
  <c r="J1306" i="1" s="1"/>
  <c r="J1249" i="1"/>
  <c r="J1252" i="1" s="1"/>
  <c r="J1250" i="1" s="1"/>
  <c r="J1182" i="1"/>
  <c r="J1314" i="1" l="1"/>
  <c r="J1312" i="1" s="1"/>
  <c r="J1183" i="1"/>
  <c r="J1166" i="1"/>
  <c r="L1164" i="1"/>
  <c r="J1150" i="1"/>
  <c r="J1148" i="1" s="1"/>
  <c r="L557" i="1"/>
  <c r="L555" i="1"/>
  <c r="J820" i="1" l="1"/>
  <c r="L820" i="1" s="1"/>
  <c r="L821" i="1" s="1"/>
  <c r="H64" i="3" s="1"/>
  <c r="L819" i="1"/>
  <c r="J815" i="1"/>
  <c r="J816" i="1" s="1"/>
  <c r="F63" i="3" s="1"/>
  <c r="L814" i="1"/>
  <c r="L813" i="1"/>
  <c r="J821" i="1" l="1"/>
  <c r="F64" i="3" s="1"/>
  <c r="L815" i="1"/>
  <c r="L816" i="1" s="1"/>
  <c r="H63" i="3" s="1"/>
  <c r="J89" i="1" l="1"/>
  <c r="L624" i="1" l="1"/>
  <c r="J625" i="1"/>
  <c r="L625" i="1" s="1"/>
  <c r="G220" i="3" l="1"/>
  <c r="C220" i="3"/>
  <c r="G192" i="3"/>
  <c r="C192" i="3"/>
  <c r="G96" i="3"/>
  <c r="C96" i="3"/>
  <c r="G87" i="3"/>
  <c r="G85" i="3"/>
  <c r="G72" i="3"/>
  <c r="G62" i="3"/>
  <c r="G61" i="3"/>
  <c r="G50" i="3"/>
  <c r="G46" i="3"/>
  <c r="G40" i="3"/>
  <c r="G38" i="3"/>
  <c r="G35" i="3"/>
  <c r="G30" i="3"/>
  <c r="G27" i="3"/>
  <c r="G16" i="3"/>
  <c r="C16" i="3"/>
  <c r="G15" i="3"/>
  <c r="C15" i="3"/>
  <c r="K77" i="1"/>
  <c r="J77" i="1"/>
  <c r="J54" i="1"/>
  <c r="L2126" i="1"/>
  <c r="J2124" i="1"/>
  <c r="J2125" i="1" s="1"/>
  <c r="L2125" i="1" s="1"/>
  <c r="L2122" i="1"/>
  <c r="L2123" i="1"/>
  <c r="L2121" i="1"/>
  <c r="L2114" i="1"/>
  <c r="J2187" i="1"/>
  <c r="F220" i="3" l="1"/>
  <c r="L2124" i="1"/>
  <c r="H220" i="3" s="1"/>
  <c r="J1695" i="1"/>
  <c r="L1694" i="1"/>
  <c r="L1695" i="1" s="1"/>
  <c r="H192" i="3" s="1"/>
  <c r="J1690" i="1"/>
  <c r="L1774" i="1"/>
  <c r="L1775" i="1"/>
  <c r="L1776" i="1"/>
  <c r="J1780" i="1"/>
  <c r="J1777" i="1" s="1"/>
  <c r="J358" i="1"/>
  <c r="J2189" i="1"/>
  <c r="J2184" i="1"/>
  <c r="L730" i="1"/>
  <c r="L727" i="1"/>
  <c r="J728" i="1"/>
  <c r="J903" i="1"/>
  <c r="J2116" i="1"/>
  <c r="J2117" i="1" s="1"/>
  <c r="J454" i="1"/>
  <c r="J1041" i="1"/>
  <c r="L1040" i="1"/>
  <c r="L1041" i="1" s="1"/>
  <c r="H96" i="3" s="1"/>
  <c r="J498" i="1"/>
  <c r="L498" i="1" s="1"/>
  <c r="L499" i="1" s="1"/>
  <c r="H16" i="3" s="1"/>
  <c r="L497" i="1"/>
  <c r="L496" i="1"/>
  <c r="J492" i="1"/>
  <c r="J493" i="1" s="1"/>
  <c r="F15" i="3" s="1"/>
  <c r="L490" i="1"/>
  <c r="L491" i="1"/>
  <c r="J926" i="1"/>
  <c r="J803" i="1"/>
  <c r="F61" i="3" s="1"/>
  <c r="J685" i="1"/>
  <c r="F46" i="3" s="1"/>
  <c r="J637" i="1"/>
  <c r="L623" i="1"/>
  <c r="J607" i="1"/>
  <c r="L607" i="1" s="1"/>
  <c r="J581" i="1"/>
  <c r="L581" i="1" s="1"/>
  <c r="J566" i="1"/>
  <c r="F27" i="3" s="1"/>
  <c r="J2098" i="1"/>
  <c r="L2094" i="1"/>
  <c r="J2091" i="1"/>
  <c r="L2087" i="1"/>
  <c r="J2051" i="1"/>
  <c r="L2046" i="1"/>
  <c r="J1821" i="1"/>
  <c r="J1820" i="1"/>
  <c r="L1818" i="1"/>
  <c r="J1815" i="1"/>
  <c r="J1813" i="1" s="1"/>
  <c r="L1811" i="1"/>
  <c r="J1581" i="1"/>
  <c r="L1581" i="1" s="1"/>
  <c r="L1579" i="1"/>
  <c r="J1570" i="1"/>
  <c r="L1570" i="1" s="1"/>
  <c r="L1568" i="1"/>
  <c r="J1565" i="1"/>
  <c r="J1564" i="1"/>
  <c r="L1564" i="1" s="1"/>
  <c r="L1562" i="1"/>
  <c r="J1460" i="1"/>
  <c r="L1460" i="1" s="1"/>
  <c r="J1459" i="1"/>
  <c r="L1457" i="1"/>
  <c r="L1399" i="1"/>
  <c r="L1401" i="1"/>
  <c r="J1402" i="1"/>
  <c r="L1402" i="1" s="1"/>
  <c r="L1398" i="1"/>
  <c r="J1395" i="1"/>
  <c r="L1395" i="1" s="1"/>
  <c r="L1391" i="1"/>
  <c r="J1372" i="1"/>
  <c r="L1372" i="1" s="1"/>
  <c r="L1370" i="1"/>
  <c r="J1367" i="1"/>
  <c r="L1363" i="1"/>
  <c r="J1355" i="1"/>
  <c r="J1353" i="1" s="1"/>
  <c r="L1351" i="1"/>
  <c r="L1317" i="1"/>
  <c r="L1310" i="1"/>
  <c r="J1295" i="1"/>
  <c r="L1291" i="1"/>
  <c r="J1277" i="1"/>
  <c r="L1277" i="1" s="1"/>
  <c r="L1275" i="1"/>
  <c r="L1248" i="1"/>
  <c r="J1177" i="1"/>
  <c r="L1177" i="1" s="1"/>
  <c r="L1175" i="1"/>
  <c r="L1160" i="1"/>
  <c r="L1158" i="1"/>
  <c r="L1146" i="1"/>
  <c r="J1086" i="1"/>
  <c r="J1085" i="1"/>
  <c r="L1083" i="1"/>
  <c r="J1015" i="1"/>
  <c r="F87" i="3" s="1"/>
  <c r="L1011" i="1"/>
  <c r="F40" i="3" l="1"/>
  <c r="J635" i="1"/>
  <c r="J1696" i="1"/>
  <c r="L1696" i="1" s="1"/>
  <c r="F192" i="3"/>
  <c r="J729" i="1"/>
  <c r="L729" i="1" s="1"/>
  <c r="F50" i="3"/>
  <c r="J1042" i="1"/>
  <c r="L1042" i="1" s="1"/>
  <c r="F96" i="3"/>
  <c r="J904" i="1"/>
  <c r="F72" i="3"/>
  <c r="J499" i="1"/>
  <c r="F16" i="3" s="1"/>
  <c r="L492" i="1"/>
  <c r="L493" i="1" s="1"/>
  <c r="H15" i="3" s="1"/>
  <c r="J1001" i="1"/>
  <c r="F85" i="3" s="1"/>
  <c r="L999" i="1"/>
  <c r="L923" i="1"/>
  <c r="J809" i="1"/>
  <c r="L807" i="1"/>
  <c r="L800" i="1"/>
  <c r="L681" i="1"/>
  <c r="L633" i="1"/>
  <c r="L621" i="1"/>
  <c r="L605" i="1"/>
  <c r="L579" i="1"/>
  <c r="L562" i="1"/>
  <c r="J401" i="1"/>
  <c r="L401" i="1" s="1"/>
  <c r="L399" i="1"/>
  <c r="L382" i="1"/>
  <c r="J384" i="1"/>
  <c r="G18" i="3" l="1"/>
  <c r="G49" i="3"/>
  <c r="G124" i="3"/>
  <c r="G145" i="3"/>
  <c r="G155" i="3"/>
  <c r="G275" i="3"/>
  <c r="G273" i="3"/>
  <c r="C275" i="3"/>
  <c r="C273" i="3"/>
  <c r="G278" i="3"/>
  <c r="G276" i="3"/>
  <c r="G274" i="3"/>
  <c r="G272" i="3"/>
  <c r="G271" i="3"/>
  <c r="G270" i="3"/>
  <c r="G269" i="3"/>
  <c r="G268" i="3"/>
  <c r="G267" i="3"/>
  <c r="G266" i="3"/>
  <c r="C278" i="3"/>
  <c r="C276" i="3"/>
  <c r="C274" i="3"/>
  <c r="C272" i="3"/>
  <c r="C271" i="3"/>
  <c r="C270" i="3"/>
  <c r="C269" i="3"/>
  <c r="C268" i="3"/>
  <c r="C267" i="3"/>
  <c r="C266" i="3"/>
  <c r="G264" i="3"/>
  <c r="G263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G239" i="3"/>
  <c r="G242" i="3"/>
  <c r="G241" i="3"/>
  <c r="G240" i="3"/>
  <c r="G228" i="3"/>
  <c r="G221" i="3"/>
  <c r="G219" i="3"/>
  <c r="G218" i="3"/>
  <c r="G217" i="3"/>
  <c r="G236" i="3"/>
  <c r="G234" i="3"/>
  <c r="G233" i="3"/>
  <c r="G232" i="3"/>
  <c r="G231" i="3"/>
  <c r="G230" i="3"/>
  <c r="G229" i="3"/>
  <c r="C236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1" i="3"/>
  <c r="C219" i="3"/>
  <c r="G208" i="3"/>
  <c r="G209" i="3"/>
  <c r="G210" i="3"/>
  <c r="G211" i="3"/>
  <c r="G212" i="3"/>
  <c r="G215" i="3"/>
  <c r="C215" i="3"/>
  <c r="C212" i="3"/>
  <c r="C211" i="3"/>
  <c r="C210" i="3"/>
  <c r="G204" i="3"/>
  <c r="G203" i="3"/>
  <c r="G202" i="3"/>
  <c r="C204" i="3"/>
  <c r="C203" i="3"/>
  <c r="C202" i="3"/>
  <c r="G200" i="3"/>
  <c r="G201" i="3"/>
  <c r="C201" i="3"/>
  <c r="G198" i="3"/>
  <c r="G197" i="3"/>
  <c r="G196" i="3"/>
  <c r="G195" i="3"/>
  <c r="G194" i="3"/>
  <c r="G193" i="3"/>
  <c r="C198" i="3"/>
  <c r="C197" i="3"/>
  <c r="C196" i="3"/>
  <c r="C195" i="3"/>
  <c r="C194" i="3"/>
  <c r="C193" i="3"/>
  <c r="G191" i="3"/>
  <c r="G190" i="3"/>
  <c r="G188" i="3"/>
  <c r="G186" i="3"/>
  <c r="G185" i="3"/>
  <c r="G182" i="3"/>
  <c r="G180" i="3"/>
  <c r="G179" i="3"/>
  <c r="G178" i="3"/>
  <c r="G177" i="3"/>
  <c r="G176" i="3"/>
  <c r="C180" i="3"/>
  <c r="C179" i="3"/>
  <c r="C178" i="3"/>
  <c r="C177" i="3"/>
  <c r="C176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4" i="3"/>
  <c r="G153" i="3"/>
  <c r="G152" i="3"/>
  <c r="G151" i="3"/>
  <c r="G150" i="3"/>
  <c r="G149" i="3"/>
  <c r="G148" i="3"/>
  <c r="G147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3" i="3"/>
  <c r="G122" i="3"/>
  <c r="G121" i="3"/>
  <c r="G120" i="3"/>
  <c r="G119" i="3"/>
  <c r="G118" i="3"/>
  <c r="G117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C167" i="3"/>
  <c r="C166" i="3"/>
  <c r="C165" i="3"/>
  <c r="C164" i="3"/>
  <c r="C105" i="3"/>
  <c r="G102" i="3"/>
  <c r="G101" i="3"/>
  <c r="G100" i="3"/>
  <c r="G99" i="3"/>
  <c r="G98" i="3"/>
  <c r="C173" i="3"/>
  <c r="C172" i="3"/>
  <c r="C171" i="3"/>
  <c r="C170" i="3"/>
  <c r="C169" i="3"/>
  <c r="C168" i="3"/>
  <c r="C163" i="3"/>
  <c r="C162" i="3"/>
  <c r="C161" i="3"/>
  <c r="C160" i="3"/>
  <c r="C159" i="3"/>
  <c r="C158" i="3"/>
  <c r="C157" i="3"/>
  <c r="F156" i="3"/>
  <c r="C156" i="3"/>
  <c r="F155" i="3"/>
  <c r="C155" i="3"/>
  <c r="G265" i="3" l="1"/>
  <c r="G199" i="3"/>
  <c r="G184" i="3"/>
  <c r="C154" i="3"/>
  <c r="C153" i="3"/>
  <c r="C152" i="3"/>
  <c r="C151" i="3"/>
  <c r="C150" i="3"/>
  <c r="C149" i="3"/>
  <c r="C148" i="3"/>
  <c r="C147" i="3"/>
  <c r="C145" i="3"/>
  <c r="C144" i="3"/>
  <c r="C142" i="3"/>
  <c r="C141" i="3"/>
  <c r="C140" i="3"/>
  <c r="C139" i="3"/>
  <c r="C138" i="3"/>
  <c r="C137" i="3"/>
  <c r="C136" i="3"/>
  <c r="F135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4" i="3"/>
  <c r="C113" i="3"/>
  <c r="C112" i="3"/>
  <c r="C111" i="3"/>
  <c r="C110" i="3"/>
  <c r="C109" i="3"/>
  <c r="C108" i="3"/>
  <c r="C107" i="3"/>
  <c r="C104" i="3"/>
  <c r="C103" i="3"/>
  <c r="C102" i="3"/>
  <c r="C101" i="3"/>
  <c r="C100" i="3"/>
  <c r="C99" i="3"/>
  <c r="C98" i="3"/>
  <c r="G95" i="3"/>
  <c r="G94" i="3"/>
  <c r="G92" i="3" l="1"/>
  <c r="G90" i="3"/>
  <c r="G89" i="3"/>
  <c r="G88" i="3"/>
  <c r="G86" i="3"/>
  <c r="G84" i="3"/>
  <c r="F90" i="3"/>
  <c r="C90" i="3"/>
  <c r="F92" i="3"/>
  <c r="C92" i="3"/>
  <c r="F89" i="3"/>
  <c r="C89" i="3"/>
  <c r="F88" i="3"/>
  <c r="C88" i="3"/>
  <c r="C87" i="3"/>
  <c r="F86" i="3"/>
  <c r="C86" i="3"/>
  <c r="C85" i="3"/>
  <c r="C84" i="3"/>
  <c r="G83" i="3"/>
  <c r="G81" i="3"/>
  <c r="G79" i="3"/>
  <c r="G77" i="3"/>
  <c r="G76" i="3"/>
  <c r="G75" i="3"/>
  <c r="G74" i="3"/>
  <c r="G73" i="3"/>
  <c r="C79" i="3"/>
  <c r="C77" i="3"/>
  <c r="C76" i="3"/>
  <c r="C75" i="3"/>
  <c r="C74" i="3"/>
  <c r="C73" i="3"/>
  <c r="G71" i="3"/>
  <c r="G69" i="3"/>
  <c r="C69" i="3"/>
  <c r="G58" i="3"/>
  <c r="F58" i="3"/>
  <c r="C58" i="3"/>
  <c r="G65" i="3"/>
  <c r="F65" i="3"/>
  <c r="C65" i="3"/>
  <c r="C62" i="3"/>
  <c r="G52" i="3"/>
  <c r="C61" i="3"/>
  <c r="G60" i="3"/>
  <c r="G59" i="3"/>
  <c r="C60" i="3"/>
  <c r="F59" i="3"/>
  <c r="C59" i="3"/>
  <c r="G57" i="3"/>
  <c r="F57" i="3"/>
  <c r="C57" i="3"/>
  <c r="G56" i="3"/>
  <c r="G55" i="3"/>
  <c r="G54" i="3"/>
  <c r="C56" i="3"/>
  <c r="F55" i="3"/>
  <c r="C55" i="3"/>
  <c r="F54" i="3"/>
  <c r="C54" i="3"/>
  <c r="F53" i="3"/>
  <c r="C53" i="3"/>
  <c r="F52" i="3"/>
  <c r="C52" i="3"/>
  <c r="G47" i="3"/>
  <c r="G45" i="3"/>
  <c r="G44" i="3"/>
  <c r="G43" i="3"/>
  <c r="G42" i="3"/>
  <c r="G41" i="3"/>
  <c r="G39" i="3"/>
  <c r="G37" i="3"/>
  <c r="G36" i="3"/>
  <c r="G34" i="3"/>
  <c r="G33" i="3"/>
  <c r="G32" i="3"/>
  <c r="G31" i="3"/>
  <c r="G29" i="3"/>
  <c r="G28" i="3"/>
  <c r="G25" i="3"/>
  <c r="G24" i="3"/>
  <c r="G23" i="3"/>
  <c r="G22" i="3"/>
  <c r="F47" i="3"/>
  <c r="C47" i="3"/>
  <c r="C46" i="3"/>
  <c r="C45" i="3"/>
  <c r="C44" i="3"/>
  <c r="F43" i="3"/>
  <c r="C43" i="3"/>
  <c r="F42" i="3"/>
  <c r="C42" i="3"/>
  <c r="F41" i="3"/>
  <c r="C41" i="3"/>
  <c r="C40" i="3"/>
  <c r="F39" i="3"/>
  <c r="C39" i="3"/>
  <c r="C38" i="3"/>
  <c r="F37" i="3"/>
  <c r="C37" i="3"/>
  <c r="F36" i="3"/>
  <c r="C36" i="3"/>
  <c r="C35" i="3"/>
  <c r="F34" i="3"/>
  <c r="C34" i="3"/>
  <c r="F33" i="3"/>
  <c r="C33" i="3"/>
  <c r="F32" i="3"/>
  <c r="C32" i="3"/>
  <c r="F31" i="3"/>
  <c r="C31" i="3"/>
  <c r="C30" i="3"/>
  <c r="F29" i="3"/>
  <c r="C29" i="3"/>
  <c r="F28" i="3"/>
  <c r="C28" i="3"/>
  <c r="C27" i="3"/>
  <c r="F25" i="3"/>
  <c r="C25" i="3"/>
  <c r="G21" i="3"/>
  <c r="G20" i="3"/>
  <c r="F24" i="3"/>
  <c r="C24" i="3"/>
  <c r="F23" i="3"/>
  <c r="C23" i="3"/>
  <c r="F22" i="3"/>
  <c r="C22" i="3"/>
  <c r="F21" i="3"/>
  <c r="C21" i="3"/>
  <c r="F20" i="3"/>
  <c r="C20" i="3"/>
  <c r="G19" i="3"/>
  <c r="F19" i="3"/>
  <c r="C19" i="3"/>
  <c r="F18" i="3"/>
  <c r="C18" i="3"/>
  <c r="F17" i="3"/>
  <c r="G17" i="3"/>
  <c r="C17" i="3"/>
  <c r="G12" i="3"/>
  <c r="C12" i="3"/>
  <c r="F14" i="3"/>
  <c r="G13" i="3"/>
  <c r="F13" i="3"/>
  <c r="C11" i="3"/>
  <c r="G10" i="3"/>
  <c r="F10" i="3"/>
  <c r="C10" i="3"/>
  <c r="G9" i="3"/>
  <c r="C9" i="3"/>
  <c r="B9" i="3"/>
  <c r="G8" i="3"/>
  <c r="F8" i="3"/>
  <c r="L44" i="1" l="1"/>
  <c r="L61" i="1"/>
  <c r="K2307" i="1"/>
  <c r="K2306" i="1"/>
  <c r="K2305" i="1"/>
  <c r="K2304" i="1"/>
  <c r="K2302" i="1"/>
  <c r="K2300" i="1"/>
  <c r="J2307" i="1"/>
  <c r="J2306" i="1"/>
  <c r="J2305" i="1"/>
  <c r="J2304" i="1"/>
  <c r="K66" i="1"/>
  <c r="L1801" i="1"/>
  <c r="J1802" i="1"/>
  <c r="L2004" i="1"/>
  <c r="L2005" i="1"/>
  <c r="L2003" i="1"/>
  <c r="J2006" i="1"/>
  <c r="J2007" i="1" s="1"/>
  <c r="L2007" i="1" s="1"/>
  <c r="L2306" i="1" l="1"/>
  <c r="L2305" i="1"/>
  <c r="L2307" i="1"/>
  <c r="L2304" i="1"/>
  <c r="L2008" i="1"/>
  <c r="F219" i="3"/>
  <c r="L1802" i="1"/>
  <c r="H201" i="3" s="1"/>
  <c r="F201" i="3"/>
  <c r="J1803" i="1"/>
  <c r="L1803" i="1"/>
  <c r="L2006" i="1"/>
  <c r="H219" i="3" s="1"/>
  <c r="L1894" i="1" l="1"/>
  <c r="L1895" i="1"/>
  <c r="L1896" i="1"/>
  <c r="K447" i="1" l="1"/>
  <c r="J464" i="1"/>
  <c r="F9" i="3" s="1"/>
  <c r="F7" i="3" s="1"/>
  <c r="L461" i="1"/>
  <c r="L463" i="1" s="1"/>
  <c r="J523" i="1"/>
  <c r="L523" i="1" s="1"/>
  <c r="L524" i="1" s="1"/>
  <c r="L522" i="1"/>
  <c r="H21" i="3" s="1"/>
  <c r="J518" i="1"/>
  <c r="J519" i="1" s="1"/>
  <c r="L517" i="1"/>
  <c r="H20" i="3" s="1"/>
  <c r="J513" i="1"/>
  <c r="J514" i="1" s="1"/>
  <c r="L512" i="1"/>
  <c r="H19" i="3" s="1"/>
  <c r="J508" i="1"/>
  <c r="J509" i="1" s="1"/>
  <c r="L507" i="1"/>
  <c r="H18" i="3" s="1"/>
  <c r="J503" i="1"/>
  <c r="J504" i="1" s="1"/>
  <c r="L502" i="1"/>
  <c r="L1984" i="1"/>
  <c r="L787" i="1"/>
  <c r="L464" i="1" l="1"/>
  <c r="H9" i="3"/>
  <c r="J524" i="1"/>
  <c r="L518" i="1"/>
  <c r="L519" i="1" s="1"/>
  <c r="L513" i="1"/>
  <c r="L514" i="1" s="1"/>
  <c r="L508" i="1"/>
  <c r="L509" i="1" s="1"/>
  <c r="L503" i="1"/>
  <c r="L504" i="1" s="1"/>
  <c r="H17" i="3" s="1"/>
  <c r="J340" i="1" l="1"/>
  <c r="J1832" i="1"/>
  <c r="J2199" i="1" l="1"/>
  <c r="F239" i="3" s="1"/>
  <c r="F236" i="3"/>
  <c r="J2104" i="1"/>
  <c r="F234" i="3" s="1"/>
  <c r="F233" i="3"/>
  <c r="F232" i="3"/>
  <c r="J2084" i="1"/>
  <c r="F231" i="3" s="1"/>
  <c r="F225" i="3"/>
  <c r="J2029" i="1"/>
  <c r="J2014" i="1"/>
  <c r="J1986" i="1"/>
  <c r="F215" i="3"/>
  <c r="J1909" i="1"/>
  <c r="J1897" i="1"/>
  <c r="J1863" i="1"/>
  <c r="J1849" i="1"/>
  <c r="J1788" i="1"/>
  <c r="J1789" i="1" s="1"/>
  <c r="F198" i="3" s="1"/>
  <c r="F197" i="3"/>
  <c r="J1747" i="1"/>
  <c r="F191" i="3" s="1"/>
  <c r="J1714" i="1"/>
  <c r="J892" i="1"/>
  <c r="J871" i="1"/>
  <c r="F68" i="3" s="1"/>
  <c r="J853" i="1"/>
  <c r="J793" i="1"/>
  <c r="J768" i="1"/>
  <c r="F56" i="3" s="1"/>
  <c r="J683" i="1"/>
  <c r="J677" i="1"/>
  <c r="J670" i="1"/>
  <c r="F44" i="3" s="1"/>
  <c r="J663" i="1"/>
  <c r="J570" i="1"/>
  <c r="J552" i="1"/>
  <c r="J550" i="1" s="1"/>
  <c r="J544" i="1"/>
  <c r="J545" i="1" s="1"/>
  <c r="J537" i="1"/>
  <c r="J530" i="1"/>
  <c r="J486" i="1"/>
  <c r="J479" i="1"/>
  <c r="J468" i="1"/>
  <c r="J469" i="1" s="1"/>
  <c r="J455" i="1"/>
  <c r="J443" i="1"/>
  <c r="F254" i="3" s="1"/>
  <c r="J436" i="1"/>
  <c r="F253" i="3" s="1"/>
  <c r="J429" i="1"/>
  <c r="F252" i="3" s="1"/>
  <c r="J424" i="1"/>
  <c r="F251" i="3" s="1"/>
  <c r="J417" i="1"/>
  <c r="F250" i="3" s="1"/>
  <c r="J409" i="1"/>
  <c r="F249" i="3" s="1"/>
  <c r="J395" i="1"/>
  <c r="F247" i="3" s="1"/>
  <c r="J390" i="1"/>
  <c r="F246" i="3" s="1"/>
  <c r="J377" i="1"/>
  <c r="J372" i="1"/>
  <c r="F243" i="3" s="1"/>
  <c r="J328" i="1"/>
  <c r="J319" i="1" s="1"/>
  <c r="J313" i="1"/>
  <c r="J294" i="1" s="1"/>
  <c r="J289" i="1"/>
  <c r="J271" i="1" s="1"/>
  <c r="J266" i="1"/>
  <c r="J253" i="1"/>
  <c r="J234" i="1" s="1"/>
  <c r="J141" i="1"/>
  <c r="J139" i="1"/>
  <c r="J137" i="1"/>
  <c r="J135" i="1"/>
  <c r="J134" i="1"/>
  <c r="J133" i="1"/>
  <c r="J130" i="1"/>
  <c r="J128" i="1"/>
  <c r="J127" i="1"/>
  <c r="J126" i="1"/>
  <c r="J125" i="1"/>
  <c r="J123" i="1"/>
  <c r="J121" i="1"/>
  <c r="J120" i="1"/>
  <c r="J117" i="1"/>
  <c r="J116" i="1"/>
  <c r="J114" i="1"/>
  <c r="J113" i="1"/>
  <c r="J111" i="1"/>
  <c r="J110" i="1" s="1"/>
  <c r="J108" i="1"/>
  <c r="J105" i="1"/>
  <c r="J102" i="1"/>
  <c r="J101" i="1"/>
  <c r="J100" i="1"/>
  <c r="J99" i="1"/>
  <c r="J773" i="1"/>
  <c r="J774" i="1" s="1"/>
  <c r="L772" i="1"/>
  <c r="H57" i="3" s="1"/>
  <c r="J2065" i="1"/>
  <c r="J2066" i="1" s="1"/>
  <c r="F228" i="3" s="1"/>
  <c r="L2064" i="1"/>
  <c r="L2065" i="1" s="1"/>
  <c r="L2066" i="1" s="1"/>
  <c r="H228" i="3" s="1"/>
  <c r="L2171" i="1"/>
  <c r="L2172" i="1" s="1"/>
  <c r="H259" i="3" s="1"/>
  <c r="J2171" i="1"/>
  <c r="J2172" i="1" s="1"/>
  <c r="F259" i="3" s="1"/>
  <c r="L2170" i="1"/>
  <c r="L2166" i="1"/>
  <c r="L2167" i="1" s="1"/>
  <c r="H258" i="3" s="1"/>
  <c r="J2166" i="1"/>
  <c r="J2167" i="1" s="1"/>
  <c r="F258" i="3" s="1"/>
  <c r="L2165" i="1"/>
  <c r="L1819" i="1"/>
  <c r="J1480" i="1"/>
  <c r="F172" i="3" s="1"/>
  <c r="J1479" i="1"/>
  <c r="L1479" i="1" s="1"/>
  <c r="L1478" i="1"/>
  <c r="L1480" i="1" s="1"/>
  <c r="H172" i="3" s="1"/>
  <c r="J1475" i="1"/>
  <c r="F171" i="3" s="1"/>
  <c r="J1474" i="1"/>
  <c r="L1474" i="1" s="1"/>
  <c r="L1473" i="1"/>
  <c r="L1475" i="1" s="1"/>
  <c r="H171" i="3" s="1"/>
  <c r="J1470" i="1"/>
  <c r="F170" i="3" s="1"/>
  <c r="J1469" i="1"/>
  <c r="L1469" i="1" s="1"/>
  <c r="L1468" i="1"/>
  <c r="L1470" i="1" s="1"/>
  <c r="H170" i="3" s="1"/>
  <c r="J1465" i="1"/>
  <c r="F169" i="3" s="1"/>
  <c r="J1464" i="1"/>
  <c r="L1464" i="1" s="1"/>
  <c r="L1463" i="1"/>
  <c r="L1465" i="1" s="1"/>
  <c r="H169" i="3" s="1"/>
  <c r="F168" i="3"/>
  <c r="L1458" i="1"/>
  <c r="H168" i="3" s="1"/>
  <c r="J1454" i="1"/>
  <c r="J1452" i="1" s="1"/>
  <c r="L1452" i="1" s="1"/>
  <c r="L1453" i="1"/>
  <c r="L1451" i="1"/>
  <c r="L1454" i="1" s="1"/>
  <c r="J1448" i="1"/>
  <c r="L1447" i="1"/>
  <c r="L1445" i="1"/>
  <c r="L1448" i="1" s="1"/>
  <c r="H166" i="3" s="1"/>
  <c r="J1442" i="1"/>
  <c r="L1441" i="1"/>
  <c r="L1439" i="1"/>
  <c r="L1442" i="1" s="1"/>
  <c r="H165" i="3" s="1"/>
  <c r="J1436" i="1"/>
  <c r="L1435" i="1"/>
  <c r="L1433" i="1"/>
  <c r="L1436" i="1" s="1"/>
  <c r="J1430" i="1"/>
  <c r="L1429" i="1"/>
  <c r="L1427" i="1"/>
  <c r="L1430" i="1" s="1"/>
  <c r="H163" i="3" s="1"/>
  <c r="L1423" i="1"/>
  <c r="J1424" i="1"/>
  <c r="L1421" i="1"/>
  <c r="L1424" i="1" s="1"/>
  <c r="H162" i="3" s="1"/>
  <c r="J1417" i="1"/>
  <c r="L1417" i="1" s="1"/>
  <c r="J1418" i="1"/>
  <c r="F161" i="3" s="1"/>
  <c r="L1416" i="1"/>
  <c r="L1418" i="1" s="1"/>
  <c r="H161" i="3" s="1"/>
  <c r="L1412" i="1"/>
  <c r="J1413" i="1"/>
  <c r="L1410" i="1"/>
  <c r="L1413" i="1" s="1"/>
  <c r="H160" i="3" s="1"/>
  <c r="J1406" i="1"/>
  <c r="J1407" i="1"/>
  <c r="F159" i="3" s="1"/>
  <c r="L1405" i="1"/>
  <c r="L1407" i="1" s="1"/>
  <c r="H159" i="3" s="1"/>
  <c r="F244" i="3" l="1"/>
  <c r="J378" i="1"/>
  <c r="J447" i="1"/>
  <c r="F45" i="3"/>
  <c r="F263" i="3"/>
  <c r="J1411" i="1"/>
  <c r="L1411" i="1" s="1"/>
  <c r="F160" i="3"/>
  <c r="J1440" i="1"/>
  <c r="L1440" i="1" s="1"/>
  <c r="F165" i="3"/>
  <c r="F217" i="3"/>
  <c r="F264" i="3"/>
  <c r="J385" i="1"/>
  <c r="F245" i="3"/>
  <c r="J794" i="1"/>
  <c r="F60" i="3"/>
  <c r="J1434" i="1"/>
  <c r="L1434" i="1" s="1"/>
  <c r="F164" i="3"/>
  <c r="F167" i="3"/>
  <c r="J1422" i="1"/>
  <c r="L1422" i="1" s="1"/>
  <c r="F162" i="3"/>
  <c r="J1428" i="1"/>
  <c r="L1428" i="1" s="1"/>
  <c r="F163" i="3"/>
  <c r="H164" i="3"/>
  <c r="H167" i="3"/>
  <c r="J1446" i="1"/>
  <c r="L1446" i="1" s="1"/>
  <c r="F166" i="3"/>
  <c r="L1821" i="1"/>
  <c r="H204" i="3" s="1"/>
  <c r="F204" i="3"/>
  <c r="F240" i="3"/>
  <c r="J115" i="1"/>
  <c r="J112" i="1"/>
  <c r="J124" i="1"/>
  <c r="L774" i="1"/>
  <c r="L773" i="1"/>
  <c r="L1820" i="1"/>
  <c r="L1459" i="1"/>
  <c r="L1406" i="1"/>
  <c r="H158" i="3"/>
  <c r="L1392" i="1"/>
  <c r="H157" i="3" s="1"/>
  <c r="L2262" i="1"/>
  <c r="J2261" i="1"/>
  <c r="J2263" i="1" s="1"/>
  <c r="L2260" i="1"/>
  <c r="L2116" i="1"/>
  <c r="L875" i="1"/>
  <c r="L876" i="1"/>
  <c r="L874" i="1"/>
  <c r="J877" i="1"/>
  <c r="J878" i="1" s="1"/>
  <c r="F69" i="3" s="1"/>
  <c r="K855" i="1"/>
  <c r="J855" i="1"/>
  <c r="J59" i="1"/>
  <c r="J43" i="1"/>
  <c r="J689" i="1"/>
  <c r="L689" i="1" s="1"/>
  <c r="J690" i="1"/>
  <c r="L690" i="1" s="1"/>
  <c r="L688" i="1"/>
  <c r="H47" i="3" s="1"/>
  <c r="L685" i="1"/>
  <c r="H46" i="3" s="1"/>
  <c r="L684" i="1"/>
  <c r="L682" i="1"/>
  <c r="J1002" i="1"/>
  <c r="L1000" i="1"/>
  <c r="L1001" i="1" s="1"/>
  <c r="H85" i="3" s="1"/>
  <c r="J1932" i="1"/>
  <c r="L1931" i="1"/>
  <c r="L924" i="1"/>
  <c r="L948" i="1"/>
  <c r="L1064" i="1"/>
  <c r="L1532" i="1"/>
  <c r="L1533" i="1"/>
  <c r="L1534" i="1"/>
  <c r="L1535" i="1"/>
  <c r="L1537" i="1"/>
  <c r="L1539" i="1"/>
  <c r="L1540" i="1"/>
  <c r="L1542" i="1"/>
  <c r="L1543" i="1"/>
  <c r="L1544" i="1"/>
  <c r="L1545" i="1"/>
  <c r="L1546" i="1"/>
  <c r="L1547" i="1"/>
  <c r="L1548" i="1"/>
  <c r="L1549" i="1"/>
  <c r="L1550" i="1"/>
  <c r="L1551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2090" i="1"/>
  <c r="L2097" i="1"/>
  <c r="L2103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203" i="1"/>
  <c r="L2221" i="1"/>
  <c r="L2222" i="1"/>
  <c r="L2239" i="1"/>
  <c r="L2250" i="1"/>
  <c r="L2256" i="1"/>
  <c r="J575" i="1"/>
  <c r="L570" i="1"/>
  <c r="L565" i="1"/>
  <c r="J576" i="1"/>
  <c r="L574" i="1"/>
  <c r="H29" i="3" s="1"/>
  <c r="J571" i="1"/>
  <c r="L571" i="1" s="1"/>
  <c r="L569" i="1"/>
  <c r="H28" i="3" s="1"/>
  <c r="L580" i="1"/>
  <c r="L585" i="1"/>
  <c r="H31" i="3" s="1"/>
  <c r="L2155" i="1"/>
  <c r="L2160" i="1"/>
  <c r="L590" i="1"/>
  <c r="H32" i="3" s="1"/>
  <c r="L595" i="1"/>
  <c r="H33" i="3" s="1"/>
  <c r="L600" i="1"/>
  <c r="H34" i="3" s="1"/>
  <c r="L606" i="1"/>
  <c r="L1006" i="1"/>
  <c r="H86" i="3" s="1"/>
  <c r="L1014" i="1"/>
  <c r="L1012" i="1"/>
  <c r="L1018" i="1"/>
  <c r="H88" i="3" s="1"/>
  <c r="L1023" i="1"/>
  <c r="H89" i="3" s="1"/>
  <c r="L1028" i="1"/>
  <c r="H90" i="3" s="1"/>
  <c r="L2277" i="1"/>
  <c r="L2282" i="1"/>
  <c r="L2287" i="1"/>
  <c r="L611" i="1"/>
  <c r="H36" i="3" s="1"/>
  <c r="L616" i="1"/>
  <c r="H37" i="3" s="1"/>
  <c r="L622" i="1"/>
  <c r="L628" i="1"/>
  <c r="H39" i="3" s="1"/>
  <c r="L824" i="1"/>
  <c r="H65" i="3" s="1"/>
  <c r="L636" i="1"/>
  <c r="L634" i="1"/>
  <c r="L2292" i="1"/>
  <c r="L640" i="1"/>
  <c r="H41" i="3" s="1"/>
  <c r="L645" i="1"/>
  <c r="H42" i="3" s="1"/>
  <c r="L1033" i="1"/>
  <c r="H92" i="3" s="1"/>
  <c r="L662" i="1"/>
  <c r="L668" i="1"/>
  <c r="L669" i="1"/>
  <c r="L667" i="1"/>
  <c r="L675" i="1"/>
  <c r="L676" i="1"/>
  <c r="L674" i="1"/>
  <c r="L726" i="1"/>
  <c r="L744" i="1"/>
  <c r="L765" i="1"/>
  <c r="L791" i="1"/>
  <c r="L792" i="1"/>
  <c r="L801" i="1"/>
  <c r="L808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37" i="1"/>
  <c r="L1084" i="1"/>
  <c r="L1091" i="1"/>
  <c r="L1089" i="1"/>
  <c r="L1095" i="1"/>
  <c r="L1100" i="1"/>
  <c r="L1105" i="1"/>
  <c r="L1110" i="1"/>
  <c r="L1117" i="1"/>
  <c r="L1115" i="1"/>
  <c r="L1121" i="1"/>
  <c r="L1126" i="1"/>
  <c r="L1131" i="1"/>
  <c r="L1136" i="1"/>
  <c r="L1141" i="1"/>
  <c r="L1149" i="1"/>
  <c r="L1153" i="1"/>
  <c r="L1159" i="1"/>
  <c r="L1165" i="1"/>
  <c r="L1170" i="1"/>
  <c r="L1176" i="1"/>
  <c r="L1182" i="1"/>
  <c r="L1187" i="1"/>
  <c r="L400" i="1"/>
  <c r="L1193" i="1"/>
  <c r="L1198" i="1"/>
  <c r="L1203" i="1"/>
  <c r="L1208" i="1"/>
  <c r="L1213" i="1"/>
  <c r="L1218" i="1"/>
  <c r="L1223" i="1"/>
  <c r="L1228" i="1"/>
  <c r="L1233" i="1"/>
  <c r="L1238" i="1"/>
  <c r="L1243" i="1"/>
  <c r="L1251" i="1"/>
  <c r="L1255" i="1"/>
  <c r="L1260" i="1"/>
  <c r="L1265" i="1"/>
  <c r="H135" i="3" s="1"/>
  <c r="L1270" i="1"/>
  <c r="L1276" i="1"/>
  <c r="L1281" i="1"/>
  <c r="L1286" i="1"/>
  <c r="L1294" i="1"/>
  <c r="L1292" i="1"/>
  <c r="L1305" i="1"/>
  <c r="L1313" i="1"/>
  <c r="L1311" i="1"/>
  <c r="L1331" i="1"/>
  <c r="L1329" i="1"/>
  <c r="L1335" i="1"/>
  <c r="L1340" i="1"/>
  <c r="L1347" i="1"/>
  <c r="L1345" i="1"/>
  <c r="L1354" i="1"/>
  <c r="L1352" i="1"/>
  <c r="L1358" i="1"/>
  <c r="L1366" i="1"/>
  <c r="L1364" i="1"/>
  <c r="L1371" i="1"/>
  <c r="L1376" i="1"/>
  <c r="L1381" i="1"/>
  <c r="H155" i="3" s="1"/>
  <c r="L1386" i="1"/>
  <c r="H156" i="3" s="1"/>
  <c r="L650" i="1"/>
  <c r="H43" i="3" s="1"/>
  <c r="L1506" i="1"/>
  <c r="L1507" i="1"/>
  <c r="L1505" i="1"/>
  <c r="L1556" i="1"/>
  <c r="L1563" i="1"/>
  <c r="L1569" i="1"/>
  <c r="L1574" i="1"/>
  <c r="L1580" i="1"/>
  <c r="L1585" i="1"/>
  <c r="L1618" i="1"/>
  <c r="L1617" i="1"/>
  <c r="L1653" i="1"/>
  <c r="L1654" i="1"/>
  <c r="L1656" i="1"/>
  <c r="L1716" i="1"/>
  <c r="L1717" i="1"/>
  <c r="L1742" i="1"/>
  <c r="L1743" i="1"/>
  <c r="L1744" i="1"/>
  <c r="L1745" i="1"/>
  <c r="L1746" i="1"/>
  <c r="L1749" i="1"/>
  <c r="L1768" i="1"/>
  <c r="L1777" i="1"/>
  <c r="L1779" i="1"/>
  <c r="L1773" i="1"/>
  <c r="L1784" i="1"/>
  <c r="L1785" i="1"/>
  <c r="L1786" i="1"/>
  <c r="L1787" i="1"/>
  <c r="L1783" i="1"/>
  <c r="L1806" i="1"/>
  <c r="L1814" i="1"/>
  <c r="L1812" i="1"/>
  <c r="L1925" i="1"/>
  <c r="L1926" i="1"/>
  <c r="L2028" i="1"/>
  <c r="L2027" i="1"/>
  <c r="L2048" i="1"/>
  <c r="L2050" i="1"/>
  <c r="L2047" i="1"/>
  <c r="L2059" i="1"/>
  <c r="L2083" i="1"/>
  <c r="L2074" i="1"/>
  <c r="L2080" i="1"/>
  <c r="L2088" i="1"/>
  <c r="L2095" i="1"/>
  <c r="L2101" i="1"/>
  <c r="L2115" i="1"/>
  <c r="L2181" i="1"/>
  <c r="L2202" i="1"/>
  <c r="L2208" i="1"/>
  <c r="L2220" i="1"/>
  <c r="L2230" i="1"/>
  <c r="L2237" i="1"/>
  <c r="L2243" i="1"/>
  <c r="L2248" i="1"/>
  <c r="L2254" i="1"/>
  <c r="L2267" i="1"/>
  <c r="L563" i="1"/>
  <c r="J564" i="1"/>
  <c r="L564" i="1" s="1"/>
  <c r="J1387" i="1"/>
  <c r="J1388" i="1" s="1"/>
  <c r="L1388" i="1" s="1"/>
  <c r="J1382" i="1"/>
  <c r="J1383" i="1" s="1"/>
  <c r="L1383" i="1" s="1"/>
  <c r="J1377" i="1"/>
  <c r="J1378" i="1" s="1"/>
  <c r="F67" i="3" l="1"/>
  <c r="J828" i="1"/>
  <c r="G67" i="3"/>
  <c r="L728" i="1"/>
  <c r="H50" i="3" s="1"/>
  <c r="L1086" i="1"/>
  <c r="L1085" i="1"/>
  <c r="F262" i="3"/>
  <c r="L1378" i="1"/>
  <c r="H154" i="3" s="1"/>
  <c r="F154" i="3"/>
  <c r="J1933" i="1"/>
  <c r="L1933" i="1" s="1"/>
  <c r="F212" i="3"/>
  <c r="L2263" i="1"/>
  <c r="H272" i="3" s="1"/>
  <c r="F272" i="3"/>
  <c r="J1393" i="1"/>
  <c r="F157" i="3"/>
  <c r="J1400" i="1"/>
  <c r="L1400" i="1" s="1"/>
  <c r="F158" i="3"/>
  <c r="J880" i="1"/>
  <c r="L2261" i="1"/>
  <c r="L855" i="1"/>
  <c r="H67" i="3" s="1"/>
  <c r="L877" i="1"/>
  <c r="L878" i="1" s="1"/>
  <c r="H69" i="3" s="1"/>
  <c r="L575" i="1"/>
  <c r="L683" i="1"/>
  <c r="L1002" i="1"/>
  <c r="L576" i="1"/>
  <c r="L1932" i="1"/>
  <c r="H212" i="3" s="1"/>
  <c r="L566" i="1"/>
  <c r="H27" i="3" s="1"/>
  <c r="L1387" i="1"/>
  <c r="L1382" i="1"/>
  <c r="L1377" i="1"/>
  <c r="J2240" i="1"/>
  <c r="J2232" i="1"/>
  <c r="F267" i="3" s="1"/>
  <c r="L2117" i="1"/>
  <c r="H236" i="3" s="1"/>
  <c r="J2076" i="1"/>
  <c r="L2076" i="1" s="1"/>
  <c r="J2070" i="1"/>
  <c r="J2071" i="1" s="1"/>
  <c r="F229" i="3" s="1"/>
  <c r="J2060" i="1"/>
  <c r="J2061" i="1" s="1"/>
  <c r="F227" i="3" s="1"/>
  <c r="J2055" i="1"/>
  <c r="J2056" i="1" s="1"/>
  <c r="F226" i="3" s="1"/>
  <c r="J2042" i="1"/>
  <c r="J2038" i="1"/>
  <c r="L2029" i="1"/>
  <c r="J1927" i="1"/>
  <c r="J1916" i="1"/>
  <c r="F210" i="3" s="1"/>
  <c r="K1909" i="1"/>
  <c r="J1906" i="1"/>
  <c r="K1897" i="1"/>
  <c r="K1893" i="1" s="1"/>
  <c r="L1893" i="1" s="1"/>
  <c r="J1892" i="1"/>
  <c r="L1892" i="1" s="1"/>
  <c r="J1860" i="1"/>
  <c r="F203" i="3"/>
  <c r="J1807" i="1"/>
  <c r="J1796" i="1"/>
  <c r="J1769" i="1"/>
  <c r="F196" i="3" s="1"/>
  <c r="J1762" i="1"/>
  <c r="F195" i="3" s="1"/>
  <c r="J1755" i="1"/>
  <c r="F194" i="3" s="1"/>
  <c r="J1748" i="1"/>
  <c r="J1734" i="1"/>
  <c r="J1725" i="1"/>
  <c r="F189" i="3" s="1"/>
  <c r="J1703" i="1"/>
  <c r="J1619" i="1"/>
  <c r="L1619" i="1" s="1"/>
  <c r="J1612" i="1"/>
  <c r="J1586" i="1"/>
  <c r="J1575" i="1"/>
  <c r="K1552" i="1"/>
  <c r="J1508" i="1"/>
  <c r="L1508" i="1" s="1"/>
  <c r="J1519" i="1"/>
  <c r="F173" i="3" s="1"/>
  <c r="J1497" i="1"/>
  <c r="F95" i="3" s="1"/>
  <c r="J1488" i="1"/>
  <c r="J651" i="1"/>
  <c r="F152" i="3"/>
  <c r="J1359" i="1"/>
  <c r="F150" i="3"/>
  <c r="J1348" i="1"/>
  <c r="J1341" i="1"/>
  <c r="J1336" i="1"/>
  <c r="J1332" i="1"/>
  <c r="F145" i="3" s="1"/>
  <c r="F143" i="3"/>
  <c r="F140" i="3"/>
  <c r="J1287" i="1"/>
  <c r="J1282" i="1"/>
  <c r="J1271" i="1"/>
  <c r="J1266" i="1"/>
  <c r="J1261" i="1"/>
  <c r="J1256" i="1"/>
  <c r="J1244" i="1"/>
  <c r="J1239" i="1"/>
  <c r="J1234" i="1"/>
  <c r="J1229" i="1"/>
  <c r="J1224" i="1"/>
  <c r="J1219" i="1"/>
  <c r="J1214" i="1"/>
  <c r="J1209" i="1"/>
  <c r="J1204" i="1"/>
  <c r="J1199" i="1"/>
  <c r="J1188" i="1"/>
  <c r="J1171" i="1"/>
  <c r="J1154" i="1"/>
  <c r="J1142" i="1"/>
  <c r="J1137" i="1"/>
  <c r="J1132" i="1"/>
  <c r="J1122" i="1"/>
  <c r="J1123" i="1" s="1"/>
  <c r="F108" i="3" s="1"/>
  <c r="J1127" i="1"/>
  <c r="F182" i="3" l="1"/>
  <c r="F149" i="3"/>
  <c r="L1394" i="1"/>
  <c r="L1393" i="1"/>
  <c r="L1927" i="1"/>
  <c r="H211" i="3" s="1"/>
  <c r="F211" i="3"/>
  <c r="K1522" i="1"/>
  <c r="G175" i="3"/>
  <c r="G174" i="3" s="1"/>
  <c r="F200" i="3"/>
  <c r="L2038" i="1"/>
  <c r="F223" i="3"/>
  <c r="L2240" i="1"/>
  <c r="H268" i="3" s="1"/>
  <c r="F268" i="3"/>
  <c r="J2102" i="1"/>
  <c r="L2102" i="1" s="1"/>
  <c r="L2104" i="1"/>
  <c r="H234" i="3" s="1"/>
  <c r="J1614" i="1"/>
  <c r="L1612" i="1"/>
  <c r="H182" i="3" s="1"/>
  <c r="J2096" i="1"/>
  <c r="L2096" i="1" s="1"/>
  <c r="L2098" i="1"/>
  <c r="H233" i="3" s="1"/>
  <c r="J2089" i="1"/>
  <c r="L2089" i="1" s="1"/>
  <c r="L2091" i="1"/>
  <c r="H232" i="3" s="1"/>
  <c r="L1312" i="1"/>
  <c r="L1314" i="1"/>
  <c r="H143" i="3" s="1"/>
  <c r="J1346" i="1"/>
  <c r="L1348" i="1"/>
  <c r="H149" i="3" s="1"/>
  <c r="L1789" i="1"/>
  <c r="H198" i="3" s="1"/>
  <c r="L1788" i="1"/>
  <c r="J2082" i="1"/>
  <c r="L2082" i="1" s="1"/>
  <c r="L2084" i="1"/>
  <c r="H231" i="3" s="1"/>
  <c r="J1330" i="1"/>
  <c r="L1330" i="1" s="1"/>
  <c r="L1332" i="1"/>
  <c r="H145" i="3" s="1"/>
  <c r="L1353" i="1"/>
  <c r="L1355" i="1"/>
  <c r="H150" i="3" s="1"/>
  <c r="J1365" i="1"/>
  <c r="L1365" i="1" s="1"/>
  <c r="L1367" i="1"/>
  <c r="H152" i="3" s="1"/>
  <c r="J2302" i="1"/>
  <c r="L2302" i="1" s="1"/>
  <c r="L1780" i="1"/>
  <c r="H197" i="3" s="1"/>
  <c r="L1813" i="1"/>
  <c r="L1815" i="1"/>
  <c r="H203" i="3" s="1"/>
  <c r="J2049" i="1"/>
  <c r="L2049" i="1" s="1"/>
  <c r="L2051" i="1"/>
  <c r="J1293" i="1"/>
  <c r="L1293" i="1" s="1"/>
  <c r="L1295" i="1"/>
  <c r="H140" i="3" s="1"/>
  <c r="J2036" i="1"/>
  <c r="J1911" i="1"/>
  <c r="J1118" i="1"/>
  <c r="J1111" i="1"/>
  <c r="J1106" i="1"/>
  <c r="J1101" i="1"/>
  <c r="J1096" i="1"/>
  <c r="J1092" i="1"/>
  <c r="F102" i="3" s="1"/>
  <c r="J1077" i="1"/>
  <c r="J1066" i="1"/>
  <c r="J1059" i="1"/>
  <c r="F99" i="3" s="1"/>
  <c r="J983" i="1"/>
  <c r="F83" i="3" s="1"/>
  <c r="J965" i="1"/>
  <c r="J949" i="1"/>
  <c r="J950" i="1" s="1"/>
  <c r="J944" i="1"/>
  <c r="F77" i="3" s="1"/>
  <c r="J939" i="1"/>
  <c r="F76" i="3" s="1"/>
  <c r="J933" i="1"/>
  <c r="J918" i="1"/>
  <c r="J911" i="1"/>
  <c r="J882" i="1" s="1"/>
  <c r="K854" i="1"/>
  <c r="F75" i="3" l="1"/>
  <c r="L1346" i="1"/>
  <c r="F71" i="3"/>
  <c r="J927" i="1"/>
  <c r="F74" i="3"/>
  <c r="L949" i="1"/>
  <c r="H79" i="3" s="1"/>
  <c r="F79" i="3"/>
  <c r="J1067" i="1"/>
  <c r="F100" i="3"/>
  <c r="L1118" i="1"/>
  <c r="H107" i="3" s="1"/>
  <c r="F107" i="3"/>
  <c r="J919" i="1"/>
  <c r="F73" i="3"/>
  <c r="J893" i="1"/>
  <c r="L1778" i="1"/>
  <c r="J1090" i="1"/>
  <c r="L1090" i="1" s="1"/>
  <c r="L1092" i="1"/>
  <c r="H102" i="3" s="1"/>
  <c r="J868" i="1"/>
  <c r="J785" i="1"/>
  <c r="J786" i="1" s="1"/>
  <c r="J780" i="1"/>
  <c r="L768" i="1"/>
  <c r="H56" i="3" s="1"/>
  <c r="J759" i="1"/>
  <c r="J752" i="1"/>
  <c r="J745" i="1"/>
  <c r="J718" i="1"/>
  <c r="J708" i="1"/>
  <c r="L677" i="1"/>
  <c r="H45" i="3" s="1"/>
  <c r="L663" i="1"/>
  <c r="J1034" i="1"/>
  <c r="J646" i="1"/>
  <c r="J641" i="1"/>
  <c r="J2293" i="1"/>
  <c r="J825" i="1"/>
  <c r="J629" i="1"/>
  <c r="J617" i="1"/>
  <c r="J612" i="1"/>
  <c r="J2288" i="1"/>
  <c r="J2283" i="1"/>
  <c r="J2278" i="1"/>
  <c r="J1029" i="1"/>
  <c r="J1024" i="1"/>
  <c r="J1019" i="1"/>
  <c r="J1007" i="1"/>
  <c r="J601" i="1"/>
  <c r="J596" i="1"/>
  <c r="J591" i="1"/>
  <c r="J2161" i="1"/>
  <c r="J2156" i="1"/>
  <c r="F256" i="3" s="1"/>
  <c r="J586" i="1"/>
  <c r="J1963" i="1"/>
  <c r="J1954" i="1"/>
  <c r="J1946" i="1"/>
  <c r="J1681" i="1"/>
  <c r="J1676" i="1"/>
  <c r="F190" i="3" s="1"/>
  <c r="J1667" i="1"/>
  <c r="J1659" i="1" s="1"/>
  <c r="J734" i="1"/>
  <c r="J700" i="1"/>
  <c r="L1659" i="1" l="1"/>
  <c r="F70" i="3"/>
  <c r="F188" i="3"/>
  <c r="L455" i="1"/>
  <c r="J217" i="1"/>
  <c r="L670" i="1"/>
  <c r="H44" i="3" s="1"/>
  <c r="L793" i="1"/>
  <c r="H60" i="3" s="1"/>
  <c r="L635" i="1"/>
  <c r="L637" i="1"/>
  <c r="H40" i="3" s="1"/>
  <c r="J206" i="1"/>
  <c r="L882" i="1"/>
  <c r="J314" i="1"/>
  <c r="L1299" i="1" l="1"/>
  <c r="J1320" i="1" l="1"/>
  <c r="J1319" i="1"/>
  <c r="L1318" i="1"/>
  <c r="F132" i="3"/>
  <c r="L1249" i="1"/>
  <c r="L1147" i="1"/>
  <c r="L996" i="1"/>
  <c r="J994" i="1"/>
  <c r="L993" i="1"/>
  <c r="L994" i="1" s="1"/>
  <c r="H84" i="3" s="1"/>
  <c r="J995" i="1" l="1"/>
  <c r="L995" i="1" s="1"/>
  <c r="F84" i="3"/>
  <c r="L1250" i="1"/>
  <c r="L1252" i="1"/>
  <c r="H132" i="3" s="1"/>
  <c r="L870" i="1" l="1"/>
  <c r="K869" i="1"/>
  <c r="L868" i="1"/>
  <c r="L853" i="1"/>
  <c r="L869" i="1" l="1"/>
  <c r="J1013" i="1" l="1"/>
  <c r="L1013" i="1" s="1"/>
  <c r="L1015" i="1"/>
  <c r="H87" i="3" s="1"/>
  <c r="J1620" i="1"/>
  <c r="J1589" i="1" s="1"/>
  <c r="J1652" i="1"/>
  <c r="J1808" i="1"/>
  <c r="J1791" i="1" s="1"/>
  <c r="J132" i="1"/>
  <c r="J98" i="1"/>
  <c r="J1541" i="1"/>
  <c r="J109" i="1" s="1"/>
  <c r="J1538" i="1"/>
  <c r="J106" i="1" s="1"/>
  <c r="J1536" i="1"/>
  <c r="F183" i="3" l="1"/>
  <c r="F202" i="3"/>
  <c r="F199" i="3" s="1"/>
  <c r="J213" i="1"/>
  <c r="J1552" i="1"/>
  <c r="J97" i="1"/>
  <c r="J96" i="1" s="1"/>
  <c r="L1536" i="1"/>
  <c r="L1541" i="1"/>
  <c r="L1538" i="1"/>
  <c r="L1531" i="1"/>
  <c r="J1657" i="1"/>
  <c r="L1652" i="1"/>
  <c r="L1807" i="1"/>
  <c r="L1808" i="1" s="1"/>
  <c r="H202" i="3" s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72" i="1"/>
  <c r="F175" i="3" l="1"/>
  <c r="J1557" i="1"/>
  <c r="J1554" i="1" s="1"/>
  <c r="L1554" i="1" s="1"/>
  <c r="L1791" i="1"/>
  <c r="J212" i="1"/>
  <c r="F186" i="3"/>
  <c r="J1655" i="1"/>
  <c r="L1655" i="1" s="1"/>
  <c r="L1657" i="1"/>
  <c r="H186" i="3" s="1"/>
  <c r="L1897" i="1"/>
  <c r="L1971" i="1"/>
  <c r="J975" i="1" l="1"/>
  <c r="L950" i="1"/>
  <c r="L315" i="1"/>
  <c r="L445" i="1"/>
  <c r="L784" i="1" l="1"/>
  <c r="H59" i="3" s="1"/>
  <c r="L786" i="1" l="1"/>
  <c r="L785" i="1"/>
  <c r="J2223" i="1"/>
  <c r="F266" i="3" l="1"/>
  <c r="L2223" i="1"/>
  <c r="J2224" i="1"/>
  <c r="L2224" i="1" s="1"/>
  <c r="H266" i="3" l="1"/>
  <c r="J396" i="1"/>
  <c r="L396" i="1" s="1"/>
  <c r="L394" i="1"/>
  <c r="L407" i="1"/>
  <c r="L408" i="1"/>
  <c r="K1911" i="1"/>
  <c r="K1861" i="1"/>
  <c r="K1863" i="1"/>
  <c r="G207" i="3" s="1"/>
  <c r="K1850" i="1"/>
  <c r="K2301" i="1" s="1"/>
  <c r="K1851" i="1"/>
  <c r="J1851" i="1"/>
  <c r="J1823" i="1" s="1"/>
  <c r="F206" i="3" l="1"/>
  <c r="G206" i="3"/>
  <c r="G205" i="3" s="1"/>
  <c r="K1823" i="1"/>
  <c r="L2301" i="1"/>
  <c r="J1865" i="1"/>
  <c r="J214" i="1"/>
  <c r="K1865" i="1"/>
  <c r="L1860" i="1"/>
  <c r="L409" i="1"/>
  <c r="H249" i="3" s="1"/>
  <c r="L395" i="1"/>
  <c r="H247" i="3" s="1"/>
  <c r="L903" i="1" l="1"/>
  <c r="H72" i="3" s="1"/>
  <c r="K871" i="1"/>
  <c r="K828" i="1" s="1"/>
  <c r="L384" i="1"/>
  <c r="H245" i="3" s="1"/>
  <c r="L377" i="1"/>
  <c r="H244" i="3" s="1"/>
  <c r="G68" i="3" l="1"/>
  <c r="K880" i="1"/>
  <c r="J205" i="1"/>
  <c r="J254" i="1"/>
  <c r="K2296" i="1" l="1"/>
  <c r="L254" i="1"/>
  <c r="L2135" i="1"/>
  <c r="L2136" i="1" s="1"/>
  <c r="H241" i="3" s="1"/>
  <c r="J2136" i="1"/>
  <c r="L2144" i="1"/>
  <c r="L2145" i="1" s="1"/>
  <c r="H242" i="3" s="1"/>
  <c r="J2145" i="1"/>
  <c r="L454" i="1"/>
  <c r="H8" i="3" s="1"/>
  <c r="F241" i="3" l="1"/>
  <c r="J2146" i="1"/>
  <c r="L2146" i="1" s="1"/>
  <c r="F242" i="3"/>
  <c r="J2137" i="1"/>
  <c r="L2137" i="1" s="1"/>
  <c r="K218" i="1" l="1"/>
  <c r="K217" i="1"/>
  <c r="L217" i="1" s="1"/>
  <c r="K216" i="1"/>
  <c r="K213" i="1"/>
  <c r="L213" i="1" s="1"/>
  <c r="K212" i="1"/>
  <c r="L212" i="1" s="1"/>
  <c r="K211" i="1"/>
  <c r="K210" i="1"/>
  <c r="K208" i="1"/>
  <c r="K207" i="1"/>
  <c r="K206" i="1"/>
  <c r="L206" i="1" s="1"/>
  <c r="K204" i="1"/>
  <c r="K203" i="1"/>
  <c r="K202" i="1"/>
  <c r="K141" i="1"/>
  <c r="K140" i="1" s="1"/>
  <c r="K139" i="1"/>
  <c r="K137" i="1"/>
  <c r="K135" i="1"/>
  <c r="K134" i="1"/>
  <c r="K133" i="1"/>
  <c r="K132" i="1"/>
  <c r="K130" i="1"/>
  <c r="K128" i="1"/>
  <c r="K127" i="1"/>
  <c r="K126" i="1"/>
  <c r="K125" i="1"/>
  <c r="K123" i="1"/>
  <c r="K121" i="1"/>
  <c r="K120" i="1"/>
  <c r="K119" i="1"/>
  <c r="K117" i="1"/>
  <c r="K116" i="1"/>
  <c r="K114" i="1"/>
  <c r="K113" i="1"/>
  <c r="K111" i="1"/>
  <c r="K109" i="1"/>
  <c r="K108" i="1"/>
  <c r="K107" i="1"/>
  <c r="K106" i="1"/>
  <c r="K105" i="1"/>
  <c r="K104" i="1"/>
  <c r="K102" i="1"/>
  <c r="K101" i="1"/>
  <c r="K100" i="1"/>
  <c r="K99" i="1"/>
  <c r="K98" i="1"/>
  <c r="K97" i="1"/>
  <c r="K124" i="1" l="1"/>
  <c r="K118" i="1"/>
  <c r="K112" i="1"/>
  <c r="K96" i="1"/>
  <c r="J480" i="1" l="1"/>
  <c r="L480" i="1" l="1"/>
  <c r="J974" i="1"/>
  <c r="F81" i="3" s="1"/>
  <c r="L385" i="1" l="1"/>
  <c r="L383" i="1"/>
  <c r="G243" i="3" l="1"/>
  <c r="C243" i="3"/>
  <c r="G223" i="3"/>
  <c r="J363" i="1" l="1"/>
  <c r="J104" i="1"/>
  <c r="L1065" i="1"/>
  <c r="J364" i="1" l="1"/>
  <c r="L2081" i="1"/>
  <c r="L2036" i="1" l="1"/>
  <c r="H223" i="3"/>
  <c r="J2118" i="1"/>
  <c r="L2118" i="1" l="1"/>
  <c r="L467" i="1" l="1"/>
  <c r="H10" i="3" s="1"/>
  <c r="J202" i="1" l="1"/>
  <c r="L202" i="1" s="1"/>
  <c r="L468" i="1"/>
  <c r="L469" i="1" s="1"/>
  <c r="L447" i="1" s="1"/>
  <c r="J2244" i="1" l="1"/>
  <c r="J2030" i="1" l="1"/>
  <c r="K215" i="1" l="1"/>
  <c r="L2030" i="1"/>
  <c r="J1576" i="1"/>
  <c r="F178" i="3" s="1"/>
  <c r="L1068" i="1"/>
  <c r="L1066" i="1" l="1"/>
  <c r="H100" i="3" s="1"/>
  <c r="L1067" i="1"/>
  <c r="L1306" i="1" l="1"/>
  <c r="L55" i="1"/>
  <c r="L83" i="1"/>
  <c r="J82" i="1"/>
  <c r="L82" i="1" s="1"/>
  <c r="L928" i="1"/>
  <c r="L65" i="1"/>
  <c r="L371" i="1"/>
  <c r="L370" i="1"/>
  <c r="L372" i="1" l="1"/>
  <c r="L809" i="1"/>
  <c r="L810" i="1" s="1"/>
  <c r="H62" i="3" s="1"/>
  <c r="J1307" i="1"/>
  <c r="F142" i="3" s="1"/>
  <c r="J373" i="1"/>
  <c r="H243" i="3" l="1"/>
  <c r="L1307" i="1"/>
  <c r="H142" i="3" s="1"/>
  <c r="J810" i="1"/>
  <c r="F62" i="3" s="1"/>
  <c r="F48" i="3" s="1"/>
  <c r="L373" i="1"/>
  <c r="K110" i="1"/>
  <c r="K122" i="1"/>
  <c r="K129" i="1"/>
  <c r="K136" i="1"/>
  <c r="K138" i="1"/>
  <c r="K103" i="1" l="1"/>
  <c r="K131" i="1"/>
  <c r="K115" i="1"/>
  <c r="K142" i="1" l="1"/>
  <c r="G14" i="3"/>
  <c r="G11" i="3" s="1"/>
  <c r="C14" i="3"/>
  <c r="B14" i="3"/>
  <c r="J487" i="1" l="1"/>
  <c r="L485" i="1"/>
  <c r="L766" i="1"/>
  <c r="L1034" i="1"/>
  <c r="J1035" i="1"/>
  <c r="L1035" i="1"/>
  <c r="J80" i="1"/>
  <c r="L80" i="1" s="1"/>
  <c r="L81" i="1"/>
  <c r="L1970" i="1"/>
  <c r="J1128" i="1"/>
  <c r="F109" i="3" s="1"/>
  <c r="J1143" i="1"/>
  <c r="F112" i="3" s="1"/>
  <c r="J2162" i="1"/>
  <c r="F257" i="3" s="1"/>
  <c r="L1143" i="1" l="1"/>
  <c r="H112" i="3" s="1"/>
  <c r="L486" i="1"/>
  <c r="L487" i="1" s="1"/>
  <c r="J1571" i="1"/>
  <c r="L1127" i="1"/>
  <c r="L1128" i="1" s="1"/>
  <c r="H109" i="3" s="1"/>
  <c r="L1142" i="1"/>
  <c r="L2161" i="1"/>
  <c r="L2162" i="1" s="1"/>
  <c r="H257" i="3" s="1"/>
  <c r="F177" i="3" l="1"/>
  <c r="H14" i="3"/>
  <c r="L1571" i="1"/>
  <c r="H177" i="3" s="1"/>
  <c r="L550" i="1"/>
  <c r="L551" i="1"/>
  <c r="L549" i="1"/>
  <c r="H25" i="3" s="1"/>
  <c r="L552" i="1" l="1"/>
  <c r="J678" i="1"/>
  <c r="L678" i="1" s="1"/>
  <c r="L89" i="1" l="1"/>
  <c r="K185" i="1" s="1"/>
  <c r="K184" i="1" s="1"/>
  <c r="J88" i="1"/>
  <c r="L88" i="1" s="1"/>
  <c r="F101" i="3"/>
  <c r="J1178" i="1"/>
  <c r="F118" i="3" s="1"/>
  <c r="L1188" i="1"/>
  <c r="J1337" i="1"/>
  <c r="F147" i="3" s="1"/>
  <c r="L1178" i="1" l="1"/>
  <c r="H118" i="3" s="1"/>
  <c r="H101" i="3"/>
  <c r="J1189" i="1"/>
  <c r="F120" i="3" s="1"/>
  <c r="L1336" i="1"/>
  <c r="L1337" i="1"/>
  <c r="H147" i="3" s="1"/>
  <c r="L1189" i="1" l="1"/>
  <c r="H120" i="3" s="1"/>
  <c r="J1245" i="1" l="1"/>
  <c r="F131" i="3" s="1"/>
  <c r="L943" i="1"/>
  <c r="L944" i="1" s="1"/>
  <c r="H77" i="3" s="1"/>
  <c r="J430" i="1"/>
  <c r="L430" i="1" s="1"/>
  <c r="L428" i="1"/>
  <c r="L429" i="1" s="1"/>
  <c r="H252" i="3" s="1"/>
  <c r="F144" i="3"/>
  <c r="J2255" i="1"/>
  <c r="J2257" i="1" l="1"/>
  <c r="L2255" i="1"/>
  <c r="J945" i="1"/>
  <c r="L1245" i="1"/>
  <c r="H131" i="3" s="1"/>
  <c r="L1244" i="1"/>
  <c r="L2257" i="1" l="1"/>
  <c r="H271" i="3" s="1"/>
  <c r="F271" i="3"/>
  <c r="L945" i="1"/>
  <c r="L379" i="1"/>
  <c r="L378" i="1"/>
  <c r="L376" i="1"/>
  <c r="J1172" i="1"/>
  <c r="F117" i="3" s="1"/>
  <c r="L1172" i="1" l="1"/>
  <c r="H117" i="3" s="1"/>
  <c r="L1171" i="1"/>
  <c r="L327" i="1" l="1"/>
  <c r="L326" i="1"/>
  <c r="L328" i="1" l="1"/>
  <c r="J329" i="1"/>
  <c r="J1278" i="1"/>
  <c r="F137" i="3" s="1"/>
  <c r="J1102" i="1"/>
  <c r="L894" i="1"/>
  <c r="L1102" i="1" l="1"/>
  <c r="H104" i="3" s="1"/>
  <c r="F104" i="3"/>
  <c r="L1278" i="1"/>
  <c r="H137" i="3" s="1"/>
  <c r="L329" i="1"/>
  <c r="L319" i="1"/>
  <c r="L1101" i="1"/>
  <c r="L365" i="1"/>
  <c r="G238" i="3" l="1"/>
  <c r="G225" i="3"/>
  <c r="G227" i="3"/>
  <c r="G226" i="3"/>
  <c r="G224" i="3"/>
  <c r="G183" i="3"/>
  <c r="G181" i="3" s="1"/>
  <c r="C183" i="3"/>
  <c r="G53" i="3"/>
  <c r="G48" i="3" s="1"/>
  <c r="G7" i="3"/>
  <c r="C7" i="3"/>
  <c r="B8" i="3"/>
  <c r="C8" i="3"/>
  <c r="B13" i="3"/>
  <c r="C13" i="3"/>
  <c r="B49" i="3"/>
  <c r="C49" i="3"/>
  <c r="B50" i="3"/>
  <c r="C50" i="3"/>
  <c r="C67" i="3"/>
  <c r="C68" i="3"/>
  <c r="C71" i="3"/>
  <c r="C72" i="3"/>
  <c r="C82" i="3"/>
  <c r="G82" i="3"/>
  <c r="C83" i="3"/>
  <c r="C94" i="3"/>
  <c r="C182" i="3"/>
  <c r="C186" i="3"/>
  <c r="C188" i="3"/>
  <c r="C189" i="3"/>
  <c r="G189" i="3"/>
  <c r="C190" i="3"/>
  <c r="C191" i="3"/>
  <c r="C200" i="3"/>
  <c r="C206" i="3"/>
  <c r="C207" i="3"/>
  <c r="C208" i="3"/>
  <c r="C209" i="3"/>
  <c r="C217" i="3"/>
  <c r="C218" i="3"/>
  <c r="C238" i="3"/>
  <c r="C239" i="3"/>
  <c r="C240" i="3"/>
  <c r="C241" i="3"/>
  <c r="C242" i="3"/>
  <c r="C263" i="3"/>
  <c r="C264" i="3"/>
  <c r="G216" i="3" l="1"/>
  <c r="G262" i="3"/>
  <c r="G237" i="3"/>
  <c r="G93" i="3"/>
  <c r="G70" i="3"/>
  <c r="G187" i="3"/>
  <c r="J64" i="1" l="1"/>
  <c r="J1167" i="1" l="1"/>
  <c r="F116" i="3" s="1"/>
  <c r="J2157" i="1"/>
  <c r="J1587" i="1"/>
  <c r="F180" i="3" s="1"/>
  <c r="J402" i="1"/>
  <c r="J333" i="1" s="1"/>
  <c r="J1184" i="1"/>
  <c r="J804" i="1"/>
  <c r="L2035" i="1"/>
  <c r="J1682" i="1"/>
  <c r="F193" i="3" s="1"/>
  <c r="F187" i="3" s="1"/>
  <c r="L1680" i="1"/>
  <c r="L1681" i="1" s="1"/>
  <c r="J1582" i="1"/>
  <c r="J1522" i="1" s="1"/>
  <c r="J107" i="1"/>
  <c r="J103" i="1" s="1"/>
  <c r="J2238" i="1"/>
  <c r="L2238" i="1" s="1"/>
  <c r="F119" i="3" l="1"/>
  <c r="F248" i="3"/>
  <c r="L1582" i="1"/>
  <c r="H179" i="3" s="1"/>
  <c r="F179" i="3"/>
  <c r="J1053" i="1"/>
  <c r="L1184" i="1"/>
  <c r="H119" i="3" s="1"/>
  <c r="L1587" i="1"/>
  <c r="H180" i="3" s="1"/>
  <c r="L402" i="1"/>
  <c r="H248" i="3" s="1"/>
  <c r="L1167" i="1"/>
  <c r="H116" i="3" s="1"/>
  <c r="L1166" i="1"/>
  <c r="L2156" i="1"/>
  <c r="L1586" i="1"/>
  <c r="L1183" i="1"/>
  <c r="L2037" i="1"/>
  <c r="L1682" i="1"/>
  <c r="H193" i="3" s="1"/>
  <c r="F98" i="3" l="1"/>
  <c r="L2157" i="1"/>
  <c r="H256" i="3"/>
  <c r="J1054" i="1"/>
  <c r="J671" i="1"/>
  <c r="L671" i="1" s="1"/>
  <c r="L1514" i="1" l="1"/>
  <c r="L1515" i="1"/>
  <c r="L1516" i="1"/>
  <c r="L1517" i="1"/>
  <c r="L972" i="1"/>
  <c r="J437" i="1"/>
  <c r="L437" i="1" s="1"/>
  <c r="J425" i="1"/>
  <c r="L425" i="1" s="1"/>
  <c r="J418" i="1"/>
  <c r="L418" i="1" s="1"/>
  <c r="J2204" i="1"/>
  <c r="L2204" i="1" s="1"/>
  <c r="J587" i="1"/>
  <c r="J1194" i="1"/>
  <c r="J2289" i="1"/>
  <c r="F276" i="3" s="1"/>
  <c r="J2284" i="1"/>
  <c r="F275" i="3" s="1"/>
  <c r="L1636" i="1"/>
  <c r="L1634" i="1"/>
  <c r="L1632" i="1"/>
  <c r="L1631" i="1"/>
  <c r="L1630" i="1"/>
  <c r="J1097" i="1"/>
  <c r="F103" i="3" s="1"/>
  <c r="J1288" i="1"/>
  <c r="F139" i="3" s="1"/>
  <c r="J1283" i="1"/>
  <c r="F138" i="3" s="1"/>
  <c r="J1112" i="1"/>
  <c r="F106" i="3" s="1"/>
  <c r="J1195" i="1" l="1"/>
  <c r="F121" i="3" s="1"/>
  <c r="J1975" i="1"/>
  <c r="L1097" i="1"/>
  <c r="H103" i="3" s="1"/>
  <c r="L1283" i="1"/>
  <c r="H138" i="3" s="1"/>
  <c r="L1288" i="1"/>
  <c r="H139" i="3" s="1"/>
  <c r="L1620" i="1"/>
  <c r="H183" i="3" s="1"/>
  <c r="H181" i="3" s="1"/>
  <c r="L1195" i="1"/>
  <c r="H121" i="3" s="1"/>
  <c r="L1096" i="1"/>
  <c r="L586" i="1"/>
  <c r="L587" i="1" s="1"/>
  <c r="L1194" i="1"/>
  <c r="L2288" i="1"/>
  <c r="L2289" i="1" s="1"/>
  <c r="H276" i="3" s="1"/>
  <c r="L2283" i="1"/>
  <c r="L2284" i="1" s="1"/>
  <c r="H275" i="3" s="1"/>
  <c r="L1287" i="1"/>
  <c r="L1282" i="1"/>
  <c r="L1111" i="1"/>
  <c r="L1112" i="1" s="1"/>
  <c r="H106" i="3" s="1"/>
  <c r="J1373" i="1"/>
  <c r="F153" i="3" s="1"/>
  <c r="J597" i="1"/>
  <c r="J1155" i="1"/>
  <c r="F114" i="3" s="1"/>
  <c r="J652" i="1"/>
  <c r="J582" i="1"/>
  <c r="F30" i="3" s="1"/>
  <c r="J592" i="1"/>
  <c r="J602" i="1"/>
  <c r="L390" i="1"/>
  <c r="H246" i="3" s="1"/>
  <c r="L388" i="1"/>
  <c r="L389" i="1"/>
  <c r="L1975" i="1" l="1"/>
  <c r="L1373" i="1"/>
  <c r="H153" i="3" s="1"/>
  <c r="L1155" i="1"/>
  <c r="H114" i="3" s="1"/>
  <c r="L597" i="1"/>
  <c r="L592" i="1"/>
  <c r="J391" i="1"/>
  <c r="L391" i="1" s="1"/>
  <c r="L596" i="1"/>
  <c r="L582" i="1"/>
  <c r="H30" i="3" s="1"/>
  <c r="L1154" i="1"/>
  <c r="L591" i="1"/>
  <c r="L1968" i="1"/>
  <c r="L1969" i="1"/>
  <c r="L1972" i="1"/>
  <c r="L1967" i="1"/>
  <c r="L1689" i="1"/>
  <c r="J2209" i="1"/>
  <c r="F261" i="3" s="1"/>
  <c r="J1509" i="1" l="1"/>
  <c r="L2209" i="1"/>
  <c r="H261" i="3" s="1"/>
  <c r="J2210" i="1"/>
  <c r="F38" i="3" l="1"/>
  <c r="J2249" i="1"/>
  <c r="L2249" i="1" s="1"/>
  <c r="J1770" i="1"/>
  <c r="J2303" i="1" s="1"/>
  <c r="J2151" i="1"/>
  <c r="L2150" i="1"/>
  <c r="L2151" i="1" s="1"/>
  <c r="H255" i="3" s="1"/>
  <c r="F255" i="3" l="1"/>
  <c r="J2152" i="1"/>
  <c r="L2152" i="1" s="1"/>
  <c r="H38" i="3"/>
  <c r="L1675" i="1"/>
  <c r="L357" i="1" l="1"/>
  <c r="L1509" i="1" l="1"/>
  <c r="L1907" i="1"/>
  <c r="L1840" i="1"/>
  <c r="L1575" i="1" l="1"/>
  <c r="L2042" i="1"/>
  <c r="L2043" i="1" s="1"/>
  <c r="H224" i="3" s="1"/>
  <c r="L2041" i="1"/>
  <c r="L1576" i="1" l="1"/>
  <c r="H178" i="3" s="1"/>
  <c r="J2043" i="1"/>
  <c r="F224" i="3" s="1"/>
  <c r="L651" i="1" l="1"/>
  <c r="F141" i="3"/>
  <c r="L1301" i="1" l="1"/>
  <c r="H141" i="3" s="1"/>
  <c r="L652" i="1"/>
  <c r="L1300" i="1"/>
  <c r="L1963" i="1" l="1"/>
  <c r="J1964" i="1" l="1"/>
  <c r="F209" i="3" s="1"/>
  <c r="L1964" i="1" l="1"/>
  <c r="H209" i="3" s="1"/>
  <c r="J1947" i="1" l="1"/>
  <c r="F207" i="3" s="1"/>
  <c r="L241" i="1" l="1"/>
  <c r="J1235" i="1" l="1"/>
  <c r="F129" i="3" s="1"/>
  <c r="L1261" i="1"/>
  <c r="L1262" i="1" s="1"/>
  <c r="H134" i="3" s="1"/>
  <c r="J1257" i="1"/>
  <c r="F133" i="3" s="1"/>
  <c r="J1230" i="1"/>
  <c r="F128" i="3" s="1"/>
  <c r="J1225" i="1"/>
  <c r="F127" i="3" s="1"/>
  <c r="J1205" i="1"/>
  <c r="F123" i="3" s="1"/>
  <c r="L1225" i="1" l="1"/>
  <c r="H127" i="3" s="1"/>
  <c r="L1230" i="1"/>
  <c r="H128" i="3" s="1"/>
  <c r="L1205" i="1"/>
  <c r="H123" i="3" s="1"/>
  <c r="L1235" i="1"/>
  <c r="H129" i="3" s="1"/>
  <c r="J1262" i="1"/>
  <c r="F134" i="3" s="1"/>
  <c r="L1234" i="1"/>
  <c r="L1256" i="1"/>
  <c r="L1257" i="1" s="1"/>
  <c r="H133" i="3" s="1"/>
  <c r="L1229" i="1"/>
  <c r="L1224" i="1"/>
  <c r="L1204" i="1"/>
  <c r="J940" i="1" l="1"/>
  <c r="L938" i="1"/>
  <c r="L939" i="1" s="1"/>
  <c r="H76" i="3" s="1"/>
  <c r="J934" i="1"/>
  <c r="L932" i="1"/>
  <c r="L931" i="1"/>
  <c r="L890" i="1"/>
  <c r="L891" i="1"/>
  <c r="J210" i="1" l="1"/>
  <c r="L210" i="1" s="1"/>
  <c r="L1589" i="1"/>
  <c r="L934" i="1"/>
  <c r="L933" i="1"/>
  <c r="H75" i="3" s="1"/>
  <c r="L940" i="1" l="1"/>
  <c r="J1645" i="1" l="1"/>
  <c r="J1622" i="1" s="1"/>
  <c r="L2060" i="1"/>
  <c r="J2251" i="1"/>
  <c r="F270" i="3" s="1"/>
  <c r="L1622" i="1" l="1"/>
  <c r="F185" i="3"/>
  <c r="L2251" i="1"/>
  <c r="H270" i="3" s="1"/>
  <c r="J211" i="1"/>
  <c r="L211" i="1" s="1"/>
  <c r="J2231" i="1"/>
  <c r="L745" i="1"/>
  <c r="L2231" i="1" l="1"/>
  <c r="L2232" i="1"/>
  <c r="J746" i="1"/>
  <c r="L646" i="1"/>
  <c r="J642" i="1"/>
  <c r="J1360" i="1"/>
  <c r="F151" i="3" s="1"/>
  <c r="H267" i="3" l="1"/>
  <c r="L1360" i="1"/>
  <c r="H151" i="3" s="1"/>
  <c r="L746" i="1"/>
  <c r="H53" i="3" s="1"/>
  <c r="L642" i="1"/>
  <c r="L1359" i="1"/>
  <c r="J647" i="1"/>
  <c r="L641" i="1"/>
  <c r="L647" i="1" l="1"/>
  <c r="J1240" i="1" l="1"/>
  <c r="F130" i="3" s="1"/>
  <c r="L1240" i="1" l="1"/>
  <c r="H130" i="3" s="1"/>
  <c r="L1239" i="1"/>
  <c r="L442" i="1" l="1"/>
  <c r="L443" i="1" s="1"/>
  <c r="H254" i="3" s="1"/>
  <c r="J1928" i="1"/>
  <c r="L1928" i="1" s="1"/>
  <c r="L802" i="1"/>
  <c r="L1761" i="1"/>
  <c r="J769" i="1"/>
  <c r="L767" i="1"/>
  <c r="L860" i="1"/>
  <c r="L865" i="1"/>
  <c r="L866" i="1"/>
  <c r="L435" i="1"/>
  <c r="L436" i="1" s="1"/>
  <c r="H253" i="3" s="1"/>
  <c r="L2077" i="1"/>
  <c r="H230" i="3" s="1"/>
  <c r="L2075" i="1"/>
  <c r="L803" i="1" l="1"/>
  <c r="H61" i="3" s="1"/>
  <c r="J444" i="1"/>
  <c r="L444" i="1" s="1"/>
  <c r="L1974" i="1"/>
  <c r="H215" i="3" s="1"/>
  <c r="J1763" i="1"/>
  <c r="L1762" i="1"/>
  <c r="H195" i="3" s="1"/>
  <c r="L769" i="1"/>
  <c r="J2077" i="1"/>
  <c r="F230" i="3" s="1"/>
  <c r="L1763" i="1" l="1"/>
  <c r="L804" i="1"/>
  <c r="J1715" i="1"/>
  <c r="L1715" i="1" s="1"/>
  <c r="L1530" i="1"/>
  <c r="L2069" i="1" l="1"/>
  <c r="L2054" i="1"/>
  <c r="L2070" i="1" l="1"/>
  <c r="L2071" i="1" s="1"/>
  <c r="H229" i="3" s="1"/>
  <c r="L2061" i="1"/>
  <c r="H227" i="3" s="1"/>
  <c r="L2055" i="1"/>
  <c r="L2056" i="1" s="1"/>
  <c r="H226" i="3" s="1"/>
  <c r="L964" i="1"/>
  <c r="L2013" i="1"/>
  <c r="J1342" i="1"/>
  <c r="F148" i="3" s="1"/>
  <c r="L1342" i="1" l="1"/>
  <c r="H148" i="3" s="1"/>
  <c r="J966" i="1"/>
  <c r="L965" i="1"/>
  <c r="L966" i="1" s="1"/>
  <c r="J2015" i="1"/>
  <c r="F221" i="3" s="1"/>
  <c r="L2014" i="1"/>
  <c r="L2015" i="1" s="1"/>
  <c r="H221" i="3" s="1"/>
  <c r="L1341" i="1"/>
  <c r="F82" i="3" l="1"/>
  <c r="F80" i="3" s="1"/>
  <c r="J760" i="1"/>
  <c r="L758" i="1"/>
  <c r="H55" i="3" s="1"/>
  <c r="H82" i="3" l="1"/>
  <c r="L760" i="1"/>
  <c r="L759" i="1"/>
  <c r="J1272" i="1"/>
  <c r="F136" i="3" s="1"/>
  <c r="J1267" i="1"/>
  <c r="J1220" i="1"/>
  <c r="F126" i="3" s="1"/>
  <c r="J1215" i="1"/>
  <c r="F125" i="3" s="1"/>
  <c r="J1210" i="1"/>
  <c r="F124" i="3" s="1"/>
  <c r="J1200" i="1"/>
  <c r="F122" i="3" s="1"/>
  <c r="J1138" i="1"/>
  <c r="F111" i="3" s="1"/>
  <c r="L1132" i="1"/>
  <c r="J2294" i="1"/>
  <c r="F278" i="3" s="1"/>
  <c r="J826" i="1"/>
  <c r="J692" i="1" s="1"/>
  <c r="J630" i="1"/>
  <c r="J2245" i="1"/>
  <c r="J618" i="1"/>
  <c r="J613" i="1"/>
  <c r="J2279" i="1"/>
  <c r="F274" i="3" s="1"/>
  <c r="J2268" i="1"/>
  <c r="J2269" i="1" s="1"/>
  <c r="F273" i="3" s="1"/>
  <c r="J1030" i="1"/>
  <c r="J1025" i="1"/>
  <c r="J2214" i="1" l="1"/>
  <c r="F269" i="3"/>
  <c r="F265" i="3" s="1"/>
  <c r="L692" i="1"/>
  <c r="J204" i="1"/>
  <c r="L204" i="1" s="1"/>
  <c r="L1210" i="1"/>
  <c r="H124" i="3" s="1"/>
  <c r="L1220" i="1"/>
  <c r="H126" i="3" s="1"/>
  <c r="L1267" i="1"/>
  <c r="L1138" i="1"/>
  <c r="H111" i="3" s="1"/>
  <c r="L1200" i="1"/>
  <c r="H122" i="3" s="1"/>
  <c r="L1215" i="1"/>
  <c r="H125" i="3" s="1"/>
  <c r="L1272" i="1"/>
  <c r="H136" i="3" s="1"/>
  <c r="J984" i="1"/>
  <c r="J1133" i="1"/>
  <c r="F110" i="3" s="1"/>
  <c r="L1029" i="1"/>
  <c r="L1030" i="1" s="1"/>
  <c r="L1271" i="1"/>
  <c r="L1266" i="1"/>
  <c r="L1219" i="1"/>
  <c r="L1214" i="1"/>
  <c r="L1209" i="1"/>
  <c r="L1199" i="1"/>
  <c r="L1137" i="1"/>
  <c r="L1122" i="1"/>
  <c r="L1123" i="1" s="1"/>
  <c r="H108" i="3" s="1"/>
  <c r="L2293" i="1"/>
  <c r="L2294" i="1" s="1"/>
  <c r="H278" i="3" s="1"/>
  <c r="L825" i="1"/>
  <c r="L826" i="1" s="1"/>
  <c r="L629" i="1"/>
  <c r="L630" i="1" s="1"/>
  <c r="L2244" i="1"/>
  <c r="L2245" i="1" s="1"/>
  <c r="L617" i="1"/>
  <c r="L618" i="1" s="1"/>
  <c r="L612" i="1"/>
  <c r="L613" i="1" s="1"/>
  <c r="L2278" i="1"/>
  <c r="L2279" i="1" s="1"/>
  <c r="H274" i="3" s="1"/>
  <c r="L2268" i="1"/>
  <c r="L2269" i="1" s="1"/>
  <c r="H273" i="3" s="1"/>
  <c r="L1024" i="1"/>
  <c r="L1025" i="1" s="1"/>
  <c r="L1847" i="1"/>
  <c r="H269" i="3" l="1"/>
  <c r="L2214" i="1"/>
  <c r="H265" i="3"/>
  <c r="L1133" i="1"/>
  <c r="H110" i="3" s="1"/>
  <c r="L1161" i="1"/>
  <c r="H115" i="3" s="1"/>
  <c r="L751" i="1" l="1"/>
  <c r="H54" i="3" s="1"/>
  <c r="L779" i="1"/>
  <c r="H58" i="3" s="1"/>
  <c r="L1061" i="1"/>
  <c r="L1058" i="1"/>
  <c r="L1059" i="1" s="1"/>
  <c r="H99" i="3" s="1"/>
  <c r="L1055" i="1"/>
  <c r="L1052" i="1"/>
  <c r="L1053" i="1" s="1"/>
  <c r="H98" i="3" s="1"/>
  <c r="L1518" i="1"/>
  <c r="J1020" i="1"/>
  <c r="J1008" i="1"/>
  <c r="J608" i="1"/>
  <c r="F35" i="3" s="1"/>
  <c r="L601" i="1"/>
  <c r="L602" i="1" s="1"/>
  <c r="J1107" i="1"/>
  <c r="F105" i="3" s="1"/>
  <c r="J957" i="1" l="1"/>
  <c r="L957" i="1" s="1"/>
  <c r="J207" i="1"/>
  <c r="L207" i="1" s="1"/>
  <c r="J753" i="1"/>
  <c r="L753" i="1" s="1"/>
  <c r="J1060" i="1"/>
  <c r="L780" i="1"/>
  <c r="J781" i="1"/>
  <c r="L752" i="1"/>
  <c r="L1054" i="1"/>
  <c r="L1106" i="1"/>
  <c r="L1107" i="1" s="1"/>
  <c r="H105" i="3" s="1"/>
  <c r="L1019" i="1"/>
  <c r="L1020" i="1" s="1"/>
  <c r="L1007" i="1"/>
  <c r="L1008" i="1" s="1"/>
  <c r="L608" i="1"/>
  <c r="H35" i="3" s="1"/>
  <c r="L1060" i="1" l="1"/>
  <c r="J664" i="1"/>
  <c r="F12" i="3" s="1"/>
  <c r="F11" i="3" s="1"/>
  <c r="L781" i="1"/>
  <c r="J2205" i="1"/>
  <c r="J2128" i="1" s="1"/>
  <c r="F260" i="3" l="1"/>
  <c r="J2212" i="1"/>
  <c r="J218" i="1" s="1"/>
  <c r="L218" i="1" s="1"/>
  <c r="L2205" i="1"/>
  <c r="H260" i="3" s="1"/>
  <c r="L664" i="1"/>
  <c r="H12" i="3" s="1"/>
  <c r="L423" i="1"/>
  <c r="L424" i="1" s="1"/>
  <c r="H251" i="3" s="1"/>
  <c r="L311" i="1"/>
  <c r="L479" i="1" l="1"/>
  <c r="L975" i="1" l="1"/>
  <c r="L974" i="1" s="1"/>
  <c r="H81" i="3" s="1"/>
  <c r="L982" i="1" l="1"/>
  <c r="L87" i="1" l="1"/>
  <c r="L457" i="1" l="1"/>
  <c r="J1668" i="1" l="1"/>
  <c r="J2198" i="1"/>
  <c r="L1946" i="1"/>
  <c r="L2198" i="1" l="1"/>
  <c r="J216" i="1"/>
  <c r="L216" i="1" s="1"/>
  <c r="L2199" i="1"/>
  <c r="H239" i="3" s="1"/>
  <c r="F176" i="3" l="1"/>
  <c r="L2128" i="1"/>
  <c r="L2212" i="1"/>
  <c r="L1565" i="1"/>
  <c r="H176" i="3" s="1"/>
  <c r="J290" i="1"/>
  <c r="J31" i="1" l="1"/>
  <c r="L59" i="1"/>
  <c r="L31" i="1" l="1"/>
  <c r="K155" i="1" l="1"/>
  <c r="F66" i="3"/>
  <c r="L73" i="1"/>
  <c r="J70" i="1"/>
  <c r="L70" i="1" s="1"/>
  <c r="K64" i="1" l="1"/>
  <c r="L64" i="1" s="1"/>
  <c r="L546" i="1"/>
  <c r="J366" i="1" l="1"/>
  <c r="F238" i="3" s="1"/>
  <c r="F237" i="3" s="1"/>
  <c r="L411" i="1"/>
  <c r="L366" i="1" l="1"/>
  <c r="L364" i="1"/>
  <c r="H238" i="3" l="1"/>
  <c r="K1557" i="1"/>
  <c r="L1513" i="1"/>
  <c r="L536" i="1"/>
  <c r="H23" i="3" s="1"/>
  <c r="L529" i="1"/>
  <c r="H22" i="3" s="1"/>
  <c r="L901" i="1"/>
  <c r="L1862" i="1"/>
  <c r="L1557" i="1" l="1"/>
  <c r="K1555" i="1"/>
  <c r="K2303" i="1" s="1"/>
  <c r="J538" i="1"/>
  <c r="L537" i="1"/>
  <c r="L538" i="1" s="1"/>
  <c r="K2308" i="1" l="1"/>
  <c r="L2303" i="1"/>
  <c r="L1555" i="1"/>
  <c r="K209" i="1"/>
  <c r="J531" i="1"/>
  <c r="J471" i="1" s="1"/>
  <c r="L530" i="1"/>
  <c r="L531" i="1" s="1"/>
  <c r="L863" i="1"/>
  <c r="J1520" i="1" l="1"/>
  <c r="J209" i="1" s="1"/>
  <c r="L209" i="1" s="1"/>
  <c r="L1962" i="1" l="1"/>
  <c r="L288" i="1"/>
  <c r="L287" i="1"/>
  <c r="L286" i="1"/>
  <c r="L285" i="1"/>
  <c r="L284" i="1"/>
  <c r="L283" i="1"/>
  <c r="L282" i="1"/>
  <c r="L281" i="1"/>
  <c r="L280" i="1"/>
  <c r="L279" i="1"/>
  <c r="L278" i="1"/>
  <c r="L289" i="1" l="1"/>
  <c r="L271" i="1" l="1"/>
  <c r="H240" i="3"/>
  <c r="L290" i="1"/>
  <c r="L85" i="1"/>
  <c r="L79" i="1" l="1"/>
  <c r="K84" i="1"/>
  <c r="L84" i="1" s="1"/>
  <c r="J38" i="1" l="1"/>
  <c r="J51" i="1"/>
  <c r="L51" i="1" s="1"/>
  <c r="J53" i="1"/>
  <c r="L53" i="1" s="1"/>
  <c r="K162" i="1" s="1"/>
  <c r="J56" i="1"/>
  <c r="J76" i="1"/>
  <c r="J86" i="1"/>
  <c r="K76" i="1"/>
  <c r="L75" i="1"/>
  <c r="K74" i="1"/>
  <c r="L74" i="1" s="1"/>
  <c r="L69" i="1"/>
  <c r="K78" i="1"/>
  <c r="L86" i="1" l="1"/>
  <c r="K164" i="1" s="1"/>
  <c r="L78" i="1"/>
  <c r="L76" i="1"/>
  <c r="K158" i="1" s="1"/>
  <c r="L38" i="1"/>
  <c r="K157" i="1" l="1"/>
  <c r="L57" i="1"/>
  <c r="J1917" i="1" l="1"/>
  <c r="L1915" i="1"/>
  <c r="L108" i="1" l="1"/>
  <c r="L1917" i="1"/>
  <c r="L1916" i="1"/>
  <c r="H210" i="3" s="1"/>
  <c r="L1908" i="1" l="1"/>
  <c r="L795" i="1" l="1"/>
  <c r="L60" i="1" l="1"/>
  <c r="K159" i="1" s="1"/>
  <c r="L62" i="1"/>
  <c r="L63" i="1"/>
  <c r="K160" i="1" l="1"/>
  <c r="J1629" i="1"/>
  <c r="J1596" i="1"/>
  <c r="L1596" i="1" l="1"/>
  <c r="J119" i="1"/>
  <c r="J118" i="1" s="1"/>
  <c r="L1857" i="1"/>
  <c r="L1858" i="1"/>
  <c r="L1856" i="1"/>
  <c r="L1833" i="1"/>
  <c r="L1834" i="1"/>
  <c r="L1835" i="1"/>
  <c r="L1836" i="1"/>
  <c r="L1837" i="1"/>
  <c r="L1838" i="1"/>
  <c r="L1839" i="1"/>
  <c r="L1841" i="1"/>
  <c r="L1842" i="1"/>
  <c r="L1843" i="1"/>
  <c r="L1844" i="1"/>
  <c r="L1845" i="1"/>
  <c r="L1846" i="1"/>
  <c r="L1832" i="1"/>
  <c r="L902" i="1"/>
  <c r="L1863" i="1" l="1"/>
  <c r="L1851" i="1"/>
  <c r="L1849" i="1"/>
  <c r="L77" i="1"/>
  <c r="L71" i="1"/>
  <c r="L72" i="1"/>
  <c r="L66" i="1"/>
  <c r="L67" i="1"/>
  <c r="L68" i="1"/>
  <c r="H206" i="3" l="1"/>
  <c r="L1865" i="1"/>
  <c r="K91" i="1"/>
  <c r="L56" i="1" l="1"/>
  <c r="K163" i="1" s="1"/>
  <c r="L58" i="1"/>
  <c r="L54" i="1"/>
  <c r="L52" i="1"/>
  <c r="L45" i="1"/>
  <c r="L46" i="1"/>
  <c r="L47" i="1"/>
  <c r="L48" i="1"/>
  <c r="L49" i="1"/>
  <c r="L50" i="1"/>
  <c r="L39" i="1"/>
  <c r="L40" i="1"/>
  <c r="L41" i="1"/>
  <c r="L42" i="1"/>
  <c r="L32" i="1"/>
  <c r="L33" i="1"/>
  <c r="L34" i="1"/>
  <c r="L35" i="1"/>
  <c r="L36" i="1"/>
  <c r="L37" i="1"/>
  <c r="L1666" i="1" l="1"/>
  <c r="L1733" i="1" l="1"/>
  <c r="L1945" i="1"/>
  <c r="L699" i="1"/>
  <c r="L1519" i="1" l="1"/>
  <c r="H173" i="3" s="1"/>
  <c r="L1734" i="1"/>
  <c r="L790" i="1"/>
  <c r="L910" i="1"/>
  <c r="L794" i="1" l="1"/>
  <c r="L911" i="1"/>
  <c r="L973" i="1"/>
  <c r="L478" i="1"/>
  <c r="H13" i="3" s="1"/>
  <c r="L983" i="1"/>
  <c r="L707" i="1"/>
  <c r="L925" i="1"/>
  <c r="L926" i="1" s="1"/>
  <c r="L920" i="1"/>
  <c r="L917" i="1"/>
  <c r="J1498" i="1"/>
  <c r="L889" i="1"/>
  <c r="L892" i="1" s="1"/>
  <c r="L543" i="1"/>
  <c r="H24" i="3" s="1"/>
  <c r="H71" i="3" l="1"/>
  <c r="H83" i="3"/>
  <c r="J710" i="1"/>
  <c r="J1489" i="1"/>
  <c r="H74" i="3"/>
  <c r="L918" i="1"/>
  <c r="H73" i="3" s="1"/>
  <c r="L544" i="1"/>
  <c r="L708" i="1"/>
  <c r="J456" i="1" l="1"/>
  <c r="H7" i="3"/>
  <c r="L1489" i="1"/>
  <c r="L545" i="1"/>
  <c r="L904" i="1"/>
  <c r="L456" i="1" l="1"/>
  <c r="L1496" i="1"/>
  <c r="L1076" i="1"/>
  <c r="L1075" i="1"/>
  <c r="L1497" i="1" l="1"/>
  <c r="H95" i="3" s="1"/>
  <c r="L661" i="1"/>
  <c r="L1487" i="1" l="1"/>
  <c r="L1795" i="1"/>
  <c r="L1754" i="1"/>
  <c r="L1741" i="1"/>
  <c r="L1747" i="1" l="1"/>
  <c r="H191" i="3" s="1"/>
  <c r="J1797" i="1"/>
  <c r="J1726" i="1"/>
  <c r="J1756" i="1"/>
  <c r="L1756" i="1" s="1"/>
  <c r="L1748" i="1"/>
  <c r="L1488" i="1"/>
  <c r="L1796" i="1"/>
  <c r="H200" i="3" s="1"/>
  <c r="H199" i="3" s="1"/>
  <c r="L1725" i="1"/>
  <c r="L1755" i="1"/>
  <c r="H194" i="3" s="1"/>
  <c r="L1713" i="1"/>
  <c r="L1712" i="1"/>
  <c r="L1702" i="1"/>
  <c r="L1688" i="1"/>
  <c r="L1690" i="1" s="1"/>
  <c r="J1995" i="1"/>
  <c r="J1977" i="1" s="1"/>
  <c r="L1994" i="1"/>
  <c r="L1902" i="1"/>
  <c r="L1903" i="1"/>
  <c r="L1904" i="1"/>
  <c r="L717" i="1"/>
  <c r="H49" i="3" s="1"/>
  <c r="L862" i="1"/>
  <c r="L864" i="1"/>
  <c r="L861" i="1"/>
  <c r="L1977" i="1" l="1"/>
  <c r="J215" i="1"/>
  <c r="L215" i="1" s="1"/>
  <c r="F218" i="3"/>
  <c r="F216" i="3" s="1"/>
  <c r="L1909" i="1"/>
  <c r="L1714" i="1"/>
  <c r="J1996" i="1"/>
  <c r="L1797" i="1"/>
  <c r="L1633" i="1" l="1"/>
  <c r="L1635" i="1"/>
  <c r="L1637" i="1"/>
  <c r="L1638" i="1"/>
  <c r="L1639" i="1"/>
  <c r="L1640" i="1"/>
  <c r="L1641" i="1"/>
  <c r="L1642" i="1"/>
  <c r="L1643" i="1"/>
  <c r="L1644" i="1"/>
  <c r="J701" i="1"/>
  <c r="L1552" i="1" l="1"/>
  <c r="L1629" i="1"/>
  <c r="L1645" i="1"/>
  <c r="H185" i="3" s="1"/>
  <c r="H184" i="3" s="1"/>
  <c r="L701" i="1"/>
  <c r="L871" i="1"/>
  <c r="L718" i="1"/>
  <c r="J410" i="1"/>
  <c r="L416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8" i="1"/>
  <c r="L359" i="1"/>
  <c r="L360" i="1"/>
  <c r="L361" i="1"/>
  <c r="L362" i="1"/>
  <c r="L340" i="1"/>
  <c r="L1985" i="1"/>
  <c r="L1983" i="1"/>
  <c r="L1953" i="1"/>
  <c r="L733" i="1"/>
  <c r="H52" i="3" s="1"/>
  <c r="H48" i="3" s="1"/>
  <c r="L700" i="1"/>
  <c r="L1667" i="1"/>
  <c r="L302" i="1"/>
  <c r="L303" i="1"/>
  <c r="L304" i="1"/>
  <c r="L305" i="1"/>
  <c r="L306" i="1"/>
  <c r="L307" i="1"/>
  <c r="L308" i="1"/>
  <c r="L309" i="1"/>
  <c r="L310" i="1"/>
  <c r="L312" i="1"/>
  <c r="L301" i="1"/>
  <c r="L263" i="1"/>
  <c r="L264" i="1"/>
  <c r="L265" i="1"/>
  <c r="L262" i="1"/>
  <c r="L242" i="1"/>
  <c r="L243" i="1"/>
  <c r="L244" i="1"/>
  <c r="L245" i="1"/>
  <c r="L246" i="1"/>
  <c r="L247" i="1"/>
  <c r="L248" i="1"/>
  <c r="L249" i="1"/>
  <c r="L250" i="1"/>
  <c r="L251" i="1"/>
  <c r="L252" i="1"/>
  <c r="L828" i="1" l="1"/>
  <c r="H68" i="3"/>
  <c r="L1522" i="1"/>
  <c r="H175" i="3"/>
  <c r="H174" i="3" s="1"/>
  <c r="L1668" i="1"/>
  <c r="L880" i="1"/>
  <c r="L253" i="1"/>
  <c r="L1954" i="1"/>
  <c r="L1823" i="1" s="1"/>
  <c r="L417" i="1"/>
  <c r="H250" i="3" s="1"/>
  <c r="L1676" i="1"/>
  <c r="L734" i="1"/>
  <c r="J719" i="1"/>
  <c r="L719" i="1" s="1"/>
  <c r="L1986" i="1"/>
  <c r="L363" i="1"/>
  <c r="L266" i="1"/>
  <c r="L313" i="1"/>
  <c r="L333" i="1" l="1"/>
  <c r="L1677" i="1"/>
  <c r="H190" i="3"/>
  <c r="H217" i="3"/>
  <c r="H263" i="3"/>
  <c r="L294" i="1"/>
  <c r="H264" i="3"/>
  <c r="L234" i="1"/>
  <c r="L410" i="1"/>
  <c r="J1647" i="1" l="1"/>
  <c r="F184" i="3" l="1"/>
  <c r="F181" i="3"/>
  <c r="L1647" i="1"/>
  <c r="J1078" i="1"/>
  <c r="L1077" i="1"/>
  <c r="L1078" i="1" s="1"/>
  <c r="H94" i="3" s="1"/>
  <c r="F94" i="3" l="1"/>
  <c r="L2210" i="1"/>
  <c r="J735" i="1"/>
  <c r="J1987" i="1"/>
  <c r="J1955" i="1"/>
  <c r="F208" i="3" s="1"/>
  <c r="F205" i="3" s="1"/>
  <c r="J1677" i="1"/>
  <c r="J267" i="1"/>
  <c r="L314" i="1" l="1"/>
  <c r="L1987" i="1"/>
  <c r="L1955" i="1"/>
  <c r="H208" i="3" s="1"/>
  <c r="L1947" i="1"/>
  <c r="H207" i="3" s="1"/>
  <c r="L735" i="1"/>
  <c r="L267" i="1"/>
  <c r="H205" i="3" l="1"/>
  <c r="H237" i="3"/>
  <c r="H262" i="3" l="1"/>
  <c r="J912" i="1"/>
  <c r="H80" i="3" l="1"/>
  <c r="L912" i="1"/>
  <c r="L927" i="1" l="1"/>
  <c r="J1735" i="1" l="1"/>
  <c r="H189" i="3"/>
  <c r="J1691" i="1" l="1"/>
  <c r="L1691" i="1" s="1"/>
  <c r="L1996" i="1"/>
  <c r="L1735" i="1"/>
  <c r="L1498" i="1"/>
  <c r="L1703" i="1"/>
  <c r="H188" i="3" s="1"/>
  <c r="J1704" i="1"/>
  <c r="L1850" i="1" l="1"/>
  <c r="L1861" i="1"/>
  <c r="L919" i="1"/>
  <c r="L1704" i="1"/>
  <c r="H187" i="3" l="1"/>
  <c r="L1995" i="1" l="1"/>
  <c r="L1724" i="1"/>
  <c r="H218" i="3" l="1"/>
  <c r="K214" i="1"/>
  <c r="L214" i="1" s="1"/>
  <c r="H70" i="3"/>
  <c r="L1726" i="1" l="1"/>
  <c r="L710" i="1"/>
  <c r="L1614" i="1" l="1"/>
  <c r="L984" i="1" l="1"/>
  <c r="L1906" i="1" l="1"/>
  <c r="L1911" i="1" l="1"/>
  <c r="L893" i="1" l="1"/>
  <c r="L1769" i="1"/>
  <c r="H196" i="3" l="1"/>
  <c r="L1770" i="1"/>
  <c r="L1319" i="1" l="1"/>
  <c r="L1320" i="1"/>
  <c r="H144" i="3" l="1"/>
  <c r="L1520" i="1"/>
  <c r="F174" i="3" l="1"/>
  <c r="H225" i="3" l="1"/>
  <c r="H216" i="3" s="1"/>
  <c r="L854" i="1" l="1"/>
  <c r="H66" i="3" l="1"/>
  <c r="K205" i="1" l="1"/>
  <c r="L205" i="1" s="1"/>
  <c r="G66" i="3"/>
  <c r="G280" i="3" s="1"/>
  <c r="J1116" i="1"/>
  <c r="L1116" i="1" l="1"/>
  <c r="K219" i="1"/>
  <c r="L43" i="1" l="1"/>
  <c r="K156" i="1" l="1"/>
  <c r="K153" i="1"/>
  <c r="K152" i="1" s="1"/>
  <c r="K154" i="1"/>
  <c r="J91" i="1"/>
  <c r="L91" i="1" l="1"/>
  <c r="L111" i="1" l="1"/>
  <c r="L113" i="1"/>
  <c r="L112" i="1"/>
  <c r="L114" i="1"/>
  <c r="K169" i="1" l="1"/>
  <c r="L110" i="1"/>
  <c r="L116" i="1"/>
  <c r="L117" i="1"/>
  <c r="L115" i="1"/>
  <c r="K170" i="1" l="1"/>
  <c r="L119" i="1"/>
  <c r="L120" i="1"/>
  <c r="L123" i="1"/>
  <c r="J122" i="1"/>
  <c r="L122" i="1" l="1"/>
  <c r="L125" i="1"/>
  <c r="L126" i="1"/>
  <c r="L127" i="1"/>
  <c r="L128" i="1"/>
  <c r="L124" i="1"/>
  <c r="L130" i="1"/>
  <c r="J129" i="1"/>
  <c r="L129" i="1" s="1"/>
  <c r="K172" i="1" l="1"/>
  <c r="K171" i="1"/>
  <c r="L132" i="1"/>
  <c r="L133" i="1"/>
  <c r="L99" i="1"/>
  <c r="L134" i="1"/>
  <c r="L100" i="1"/>
  <c r="L135" i="1"/>
  <c r="J131" i="1"/>
  <c r="L131" i="1" s="1"/>
  <c r="L97" i="1"/>
  <c r="L101" i="1"/>
  <c r="L137" i="1"/>
  <c r="L104" i="1"/>
  <c r="J136" i="1"/>
  <c r="L102" i="1" s="1"/>
  <c r="L139" i="1"/>
  <c r="L106" i="1"/>
  <c r="J138" i="1"/>
  <c r="L138" i="1" s="1"/>
  <c r="L136" i="1" l="1"/>
  <c r="L105" i="1"/>
  <c r="L141" i="1"/>
  <c r="K175" i="1" l="1"/>
  <c r="L98" i="1"/>
  <c r="J140" i="1"/>
  <c r="L109" i="1"/>
  <c r="L107" i="1"/>
  <c r="L140" i="1" l="1"/>
  <c r="J142" i="1"/>
  <c r="L96" i="1"/>
  <c r="L103" i="1"/>
  <c r="K168" i="1" l="1"/>
  <c r="K167" i="1"/>
  <c r="K181" i="1"/>
  <c r="K182" i="1" s="1"/>
  <c r="K195" i="1" s="1"/>
  <c r="L121" i="1"/>
  <c r="L118" i="1"/>
  <c r="K166" i="1" s="1"/>
  <c r="K177" i="1" l="1"/>
  <c r="K176" i="1"/>
  <c r="L142" i="1"/>
  <c r="K165" i="1" l="1"/>
  <c r="K178" i="1" l="1"/>
  <c r="L1150" i="1"/>
  <c r="H113" i="3" s="1"/>
  <c r="F113" i="3"/>
  <c r="L1148" i="1"/>
  <c r="F93" i="3" l="1"/>
  <c r="F280" i="3" s="1"/>
  <c r="J208" i="1"/>
  <c r="L208" i="1" s="1"/>
  <c r="L1037" i="1"/>
  <c r="L558" i="1"/>
  <c r="H26" i="3" s="1"/>
  <c r="H11" i="3" s="1"/>
  <c r="L471" i="1"/>
  <c r="J556" i="1"/>
  <c r="L556" i="1" s="1"/>
  <c r="L2296" i="1" l="1"/>
  <c r="H93" i="3"/>
  <c r="H280" i="3" s="1"/>
  <c r="J2300" i="1"/>
  <c r="J2308" i="1" s="1"/>
  <c r="J203" i="1"/>
  <c r="J219" i="1" s="1"/>
  <c r="J2296" i="1"/>
  <c r="L2300" i="1" l="1"/>
  <c r="L2308" i="1" s="1"/>
  <c r="L203" i="1"/>
  <c r="L219" i="1" s="1"/>
</calcChain>
</file>

<file path=xl/sharedStrings.xml><?xml version="1.0" encoding="utf-8"?>
<sst xmlns="http://schemas.openxmlformats.org/spreadsheetml/2006/main" count="3063" uniqueCount="1080">
  <si>
    <t>Економска 
класификација</t>
  </si>
  <si>
    <t>Врста расхода</t>
  </si>
  <si>
    <t>Плате, додаци и накнаде запослених (зараде)</t>
  </si>
  <si>
    <t>Социјални доприноси на терет послодавца</t>
  </si>
  <si>
    <t xml:space="preserve">Социјална давања запосленима 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</si>
  <si>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</si>
  <si>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</si>
  <si>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</si>
  <si>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</si>
  <si>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</si>
  <si>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</si>
  <si>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</si>
  <si>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</si>
  <si>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Отплата домаћих камата</t>
  </si>
  <si>
    <t>Пратећи трошкови задуживања</t>
  </si>
  <si>
    <t>Субвенције предузећима</t>
  </si>
  <si>
    <t>Трансфери осталим новоима власти</t>
  </si>
  <si>
    <t xml:space="preserve">Порези, обавезне таксе и казне </t>
  </si>
  <si>
    <t xml:space="preserve">Новчане казне и пенали по решењу судова </t>
  </si>
  <si>
    <t>Накнада штете</t>
  </si>
  <si>
    <t xml:space="preserve">Зграде и грађевински објекти </t>
  </si>
  <si>
    <t>Машине и опрема</t>
  </si>
  <si>
    <t>Остале некретнине и опрема</t>
  </si>
  <si>
    <t>Нематеријална имовина</t>
  </si>
  <si>
    <t>Залихе робе за даљу продају</t>
  </si>
  <si>
    <t>Земљиште</t>
  </si>
  <si>
    <t>Набавка домаће финансијске имовине</t>
  </si>
  <si>
    <t>Раздео</t>
  </si>
  <si>
    <t>Глава</t>
  </si>
  <si>
    <t>Функционална 
класификација</t>
  </si>
  <si>
    <t>Позиција</t>
  </si>
  <si>
    <t>6</t>
  </si>
  <si>
    <t>СКУПШТИНА ОПШТИНЕ</t>
  </si>
  <si>
    <t>Накнаде у натури</t>
  </si>
  <si>
    <t>Социјална давања запосленима</t>
  </si>
  <si>
    <t>Материјал</t>
  </si>
  <si>
    <t>Дотације невладиним организацијама-политичке странке</t>
  </si>
  <si>
    <t>01</t>
  </si>
  <si>
    <t>Приходи из буџета</t>
  </si>
  <si>
    <t>ИЗБОРНА КОМИСИЈА</t>
  </si>
  <si>
    <t>другом месту</t>
  </si>
  <si>
    <t xml:space="preserve">Текућа резерва </t>
  </si>
  <si>
    <t>Стална резерва</t>
  </si>
  <si>
    <t xml:space="preserve">Дотације невладиним организацијама-Црвени крст </t>
  </si>
  <si>
    <t>Верске и друге услуге заједнице</t>
  </si>
  <si>
    <t xml:space="preserve">Рекреација, култура и вере некласификоване на </t>
  </si>
  <si>
    <t>424</t>
  </si>
  <si>
    <t xml:space="preserve">Услуге рекреације и спорта </t>
  </si>
  <si>
    <t>III</t>
  </si>
  <si>
    <t>ОПШТИНСКА УПРАВА</t>
  </si>
  <si>
    <t>Опште услуге</t>
  </si>
  <si>
    <t xml:space="preserve">Машине и опрема </t>
  </si>
  <si>
    <t>1</t>
  </si>
  <si>
    <t>МЕСНЕ ЗАЈЕДНИЦЕ</t>
  </si>
  <si>
    <t xml:space="preserve">Порези, обавезне таксе и казне  </t>
  </si>
  <si>
    <t>04</t>
  </si>
  <si>
    <t>Сопствени приходи</t>
  </si>
  <si>
    <t>ТУРИЗАМ</t>
  </si>
  <si>
    <t>Туристичка организација општине Инђија</t>
  </si>
  <si>
    <t>Предшколско образовање</t>
  </si>
  <si>
    <t>3</t>
  </si>
  <si>
    <t>ПУ "Бошко Буха"</t>
  </si>
  <si>
    <t>Основно образовање</t>
  </si>
  <si>
    <t>413 Накнаде у натури</t>
  </si>
  <si>
    <t>414 Социјална давања запосленима</t>
  </si>
  <si>
    <t>415 Накнаде трошкова за запослене</t>
  </si>
  <si>
    <t>416 Награде запосленима и остали посебни расходи</t>
  </si>
  <si>
    <t>421 Стални трошкови</t>
  </si>
  <si>
    <t>422 Трошкови путовања</t>
  </si>
  <si>
    <t>423 Услуге по уговору</t>
  </si>
  <si>
    <t>424 Специјализоване услуге</t>
  </si>
  <si>
    <t>425 Текуће поправке и одржавање</t>
  </si>
  <si>
    <t>426 Материјал</t>
  </si>
  <si>
    <t xml:space="preserve">482 Порези, обавезне таксе и казне </t>
  </si>
  <si>
    <t>511 Зграде и грађевински објекти</t>
  </si>
  <si>
    <t>512 Машине и опрема</t>
  </si>
  <si>
    <t>Средње образовање</t>
  </si>
  <si>
    <t>515 Нематеријална имовина</t>
  </si>
  <si>
    <t>Високо образовање</t>
  </si>
  <si>
    <t>Образовање које није дефинисано нивоом</t>
  </si>
  <si>
    <t>423</t>
  </si>
  <si>
    <t>Услуге по уговору - Поклони за вуковце</t>
  </si>
  <si>
    <t>451</t>
  </si>
  <si>
    <t>Услуге културе</t>
  </si>
  <si>
    <t>Народна библиотека "Др Ђорђе Натошевић"</t>
  </si>
  <si>
    <t>Установа Културни центар</t>
  </si>
  <si>
    <t>090</t>
  </si>
  <si>
    <t>Социјална заштита некласификована на другом месту</t>
  </si>
  <si>
    <t>010</t>
  </si>
  <si>
    <t>Болест и инвалидност</t>
  </si>
  <si>
    <t>Накнаде за социјалну заштиту из буџета - ЦИР</t>
  </si>
  <si>
    <t>070</t>
  </si>
  <si>
    <t>Социјална помоћ угроженом становништву</t>
  </si>
  <si>
    <t>некласификована на другом месту</t>
  </si>
  <si>
    <t>040</t>
  </si>
  <si>
    <t>Породица и деца</t>
  </si>
  <si>
    <t>Накнаде за социјалну заштиту из буџета-пут. тр. ОШ</t>
  </si>
  <si>
    <t>Накнаде за социјалну заштиту из буџета-пут. тр. СШ</t>
  </si>
  <si>
    <t>Накнаде за социјалну заштиту из буџета - Прво дете</t>
  </si>
  <si>
    <t>Накнаде за социјалну заштиту из буџета - Бесплатне ужине</t>
  </si>
  <si>
    <t>060</t>
  </si>
  <si>
    <t>Становање</t>
  </si>
  <si>
    <t>Накнаде из буџета за становање за живот-домски смештај</t>
  </si>
  <si>
    <t>Опште медицинске услуге</t>
  </si>
  <si>
    <t>Новчане казне и пенали по решењу судова</t>
  </si>
  <si>
    <t>Развој заједнице</t>
  </si>
  <si>
    <t>Специјализоване услуге - планска документација</t>
  </si>
  <si>
    <t>Водоснабдевање</t>
  </si>
  <si>
    <t>Специјализоване услуге - противградна заштита</t>
  </si>
  <si>
    <t>Остале делатности</t>
  </si>
  <si>
    <t>Извори финансирања за функцију 487:</t>
  </si>
  <si>
    <t>Економски послови некласификовани на другом месту</t>
  </si>
  <si>
    <t>Управљање отпадом</t>
  </si>
  <si>
    <t>07</t>
  </si>
  <si>
    <t>Вишенаменски развојни пројекти</t>
  </si>
  <si>
    <t xml:space="preserve">Субвенције  предузећима </t>
  </si>
  <si>
    <t>Специјализоване услуге-пројекти</t>
  </si>
  <si>
    <t>Врста прихода</t>
  </si>
  <si>
    <t>ПОРЕЗИ НА ДОХОДАК, ДОБИТ И КАПИТАЛНЕ ДОБИТКЕ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</si>
  <si>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</si>
  <si>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</si>
  <si>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</si>
  <si>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приходе од осигурања лица</t>
  </si>
  <si>
    <t>Самодопринос</t>
  </si>
  <si>
    <t>Порез на друге приходе</t>
  </si>
  <si>
    <t>ПОРЕЗ НА ИМОВИНУ</t>
  </si>
  <si>
    <t>Порез на имовину</t>
  </si>
  <si>
    <t>Порез на наслеђе и поклон</t>
  </si>
  <si>
    <t>Порез на капиталне трансакције</t>
  </si>
  <si>
    <t>Порез на акције на име и уделе</t>
  </si>
  <si>
    <t>ПОРЕЗИ НА ДОБРА И УСЛУГЕ</t>
  </si>
  <si>
    <t>Комунална такса за коришћење рекламних паноа</t>
  </si>
  <si>
    <t>Порези, таксе и накнаде на моторна возила</t>
  </si>
  <si>
    <t>Накнаде за коришћење добара од општег интереса</t>
  </si>
  <si>
    <t>Концесионе накнаде и боравишне таксе</t>
  </si>
  <si>
    <t>Општинске и градске накнаде</t>
  </si>
  <si>
    <t>Општинске комуналне таксе</t>
  </si>
  <si>
    <t>ДРУГИ ПОРЕЗИ</t>
  </si>
  <si>
    <t>Комунална такса на фирму</t>
  </si>
  <si>
    <t>ДОНАЦИЈЕ ОД МЕЂУНАРОДНИХ ОРГАНИЗАЦИЈА</t>
  </si>
  <si>
    <t>Текуће донације од међ. орг. у корист нивоа општина</t>
  </si>
  <si>
    <t>Капиталне донације од међ. орг. у корист нивоа општина</t>
  </si>
  <si>
    <t>ТРАНСФЕРИ ОД ДРУГИХ НИВОА ВЛАСТИ</t>
  </si>
  <si>
    <t xml:space="preserve">        </t>
  </si>
  <si>
    <t>ПРИХОДИ ОД ИМОВИНЕ</t>
  </si>
  <si>
    <t>Камате на средства буџета општина</t>
  </si>
  <si>
    <t>Накнада за коришћење шумског и пољопривредног земљишта</t>
  </si>
  <si>
    <t>Накнада за коришћење простора и грађевинског земљишта</t>
  </si>
  <si>
    <t>ПРИХОДИ ОД ПРОДАЈЕ ДОБАРА И УСЛУГА</t>
  </si>
  <si>
    <t>Таксе у корист нивоа општина</t>
  </si>
  <si>
    <t>НОВЧАНЕ КАЗНЕ И ОДУЗЕТА ИМОВИНСКА КОРИСТ</t>
  </si>
  <si>
    <t>Приходи од новчаних казни у корист нивоа општина</t>
  </si>
  <si>
    <t>МЕШОВИТИ И НЕОДРЕЂЕНИ ПРИХОДИ</t>
  </si>
  <si>
    <t>ПРИМАЊА ОД ПРОДАЈЕ ЗЕМЉИШТА</t>
  </si>
  <si>
    <t>УКУПНИ ПРИХОДИ И ПРИМАЊА БУЏЕТА</t>
  </si>
  <si>
    <t>Јавни ред и безбедност некласификован на другом месту</t>
  </si>
  <si>
    <t>Средства из буџета</t>
  </si>
  <si>
    <t>Укупна средства</t>
  </si>
  <si>
    <t>РАСХОДИ ЗА ЗАПОСЛЕНЕ</t>
  </si>
  <si>
    <t xml:space="preserve">Накнаде у натури </t>
  </si>
  <si>
    <t>КОРИШЋЕЊЕ УСЛУГА И РОБА</t>
  </si>
  <si>
    <t xml:space="preserve">Материјал 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</si>
  <si>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</si>
  <si>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</si>
  <si>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</si>
  <si>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Субвенције јавним нефинансијским предузећима и организ.</t>
  </si>
  <si>
    <t xml:space="preserve">ДОНАЦИЈЕ, ДОТАЦИЈЕ И ТРАНСФЕРИ </t>
  </si>
  <si>
    <t>Остале дотације и трансфери</t>
  </si>
  <si>
    <t>СОЦИЈАЛНО ОСИГУРАЊЕ И СОЦИЈАЛНА ЗАШТИТА</t>
  </si>
  <si>
    <t>Накнаде за социјалну заштиту из буџета</t>
  </si>
  <si>
    <t>ОСТАЛИ РАСХОДИ</t>
  </si>
  <si>
    <t xml:space="preserve">Дотације невладиним организацијама </t>
  </si>
  <si>
    <t>Средства резерве</t>
  </si>
  <si>
    <t>ОСНОВНА СРЕДСТВА</t>
  </si>
  <si>
    <t>ЗАЛИХЕ</t>
  </si>
  <si>
    <t>ПРИРОДНА ИМОВИНА</t>
  </si>
  <si>
    <t>НАБАВКА ФИНАНСИЈСКЕ ИМОВИНЕ</t>
  </si>
  <si>
    <t>УКУПНО:</t>
  </si>
  <si>
    <t>Примања од продаје земљишта у корист нивоа општина</t>
  </si>
  <si>
    <t xml:space="preserve">Специјализоване услуге - Уређење каналске мреже </t>
  </si>
  <si>
    <t>О Д Л У К У</t>
  </si>
  <si>
    <t>Члан 1.</t>
  </si>
  <si>
    <t>Члан 4.</t>
  </si>
  <si>
    <t>Члан 5.</t>
  </si>
  <si>
    <t>А. РАЧУН ПРИХОДА И ПРИМАЊА, РАСХОДА И ИЗДАТАКА БУЏЕТА ОПШТИНЕ</t>
  </si>
  <si>
    <t>I. УКУПНИ ПРИХОДИ</t>
  </si>
  <si>
    <t>Текући приходи:</t>
  </si>
  <si>
    <t>1. Порески приходи</t>
  </si>
  <si>
    <t>1.1. Порез на доходак, добит и капиталне добитке</t>
  </si>
  <si>
    <t>1.2. Порез на добра и услуге</t>
  </si>
  <si>
    <t>1.3. Остали порески приходи</t>
  </si>
  <si>
    <t>2. Непорески приходи, од чега:</t>
  </si>
  <si>
    <t>- наплаћене камате</t>
  </si>
  <si>
    <t>- накнада за коришћење простора и грађевинског земљишта</t>
  </si>
  <si>
    <t>4. Донације</t>
  </si>
  <si>
    <t>5. Трансфери</t>
  </si>
  <si>
    <t>Капитални приходи -  примања од продаје нефинансијске имовине</t>
  </si>
  <si>
    <t>II. УКУПНИ РАСХОДИ</t>
  </si>
  <si>
    <t>1. Расходи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</si>
  <si>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</si>
  <si>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</si>
  <si>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</si>
  <si>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</si>
  <si>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расходи</t>
  </si>
  <si>
    <t>7. Текући трансфери</t>
  </si>
  <si>
    <t>8. Капитални трансфери</t>
  </si>
  <si>
    <t>Капитални расходи</t>
  </si>
  <si>
    <t>III. БУЏЕТСКИ СУФИЦИТ (БУЏЕТСКИ ДЕФИЦИТ) (I-II)</t>
  </si>
  <si>
    <t>1.2. Задуживање код осталих кредитора</t>
  </si>
  <si>
    <t>2. Примања од иностраног задуживања</t>
  </si>
  <si>
    <t>1. Отплата главнице домаћим кредиторима</t>
  </si>
  <si>
    <t>1.2. Отплата главнице осталим кредиторима</t>
  </si>
  <si>
    <t>2. Отплата главнице страним кредиторима</t>
  </si>
  <si>
    <t>II  ПОСЕБАН ДЕО</t>
  </si>
  <si>
    <t>I  ОПШТИ ДЕО</t>
  </si>
  <si>
    <t>483 Новчане казне и пенали по решењу судова</t>
  </si>
  <si>
    <t>Остале текуће донације и трансфери</t>
  </si>
  <si>
    <t xml:space="preserve"> </t>
  </si>
  <si>
    <t xml:space="preserve">483 Новчане казне и пенали по решењу судова </t>
  </si>
  <si>
    <t>Студентске стипендије</t>
  </si>
  <si>
    <t>481</t>
  </si>
  <si>
    <t>Остале текуће дотације и трансфери</t>
  </si>
  <si>
    <t>Трансфери осталим нивоима власти</t>
  </si>
  <si>
    <t>Специјализоване услуге - одржавање путних прелаза</t>
  </si>
  <si>
    <t xml:space="preserve">426 </t>
  </si>
  <si>
    <t>ПРОГРАМ 4 - РАЗВОЈ ТУРИЗМА</t>
  </si>
  <si>
    <t>1502-0001</t>
  </si>
  <si>
    <t>Управљање развојем туризма</t>
  </si>
  <si>
    <t>Функционисање предшколских установа</t>
  </si>
  <si>
    <t>2001-0001</t>
  </si>
  <si>
    <t>2002-0001</t>
  </si>
  <si>
    <t>Функционисање основних школа</t>
  </si>
  <si>
    <t>2003-0001</t>
  </si>
  <si>
    <t>Функционисање средњих школа</t>
  </si>
  <si>
    <t>1201-0001</t>
  </si>
  <si>
    <t>Функционисање локалних установа културе</t>
  </si>
  <si>
    <t>1502-0002</t>
  </si>
  <si>
    <t>Програмска активност 0002 (ПА 0002)</t>
  </si>
  <si>
    <t>1201-0002</t>
  </si>
  <si>
    <t>0602</t>
  </si>
  <si>
    <t>1301</t>
  </si>
  <si>
    <t>ПРОГРАМ 14 - РАЗВОЈ СПОРТА И ОМЛАДИНЕ</t>
  </si>
  <si>
    <t>0901</t>
  </si>
  <si>
    <t>0901-0001</t>
  </si>
  <si>
    <t>0901-0006</t>
  </si>
  <si>
    <t>0901-0002</t>
  </si>
  <si>
    <t>0901-0005</t>
  </si>
  <si>
    <t>1801</t>
  </si>
  <si>
    <t>1801-0001</t>
  </si>
  <si>
    <t>1101</t>
  </si>
  <si>
    <t>1101-0001</t>
  </si>
  <si>
    <t>0701</t>
  </si>
  <si>
    <t>0701-0002</t>
  </si>
  <si>
    <t>1501</t>
  </si>
  <si>
    <t>0101</t>
  </si>
  <si>
    <t>0101-0001</t>
  </si>
  <si>
    <t>1501-0003</t>
  </si>
  <si>
    <t>0401</t>
  </si>
  <si>
    <t>ПРОГРАМ 6 - ЗАШТИТА ЖИВОТНЕ СРЕДИНЕ</t>
  </si>
  <si>
    <t>Управљање комуналним отпадом</t>
  </si>
  <si>
    <t>09</t>
  </si>
  <si>
    <t>Примања од продаје нефинансијске имовине</t>
  </si>
  <si>
    <t>0602-0001</t>
  </si>
  <si>
    <t>Функционисање локалне самоуправе и градских општина</t>
  </si>
  <si>
    <t>0602-0010</t>
  </si>
  <si>
    <t>1501-0001</t>
  </si>
  <si>
    <t>1301-0001</t>
  </si>
  <si>
    <t>Подршка локалним спортским организацијама, удружењима и савезима</t>
  </si>
  <si>
    <t>0602-0002</t>
  </si>
  <si>
    <t>426</t>
  </si>
  <si>
    <t>511</t>
  </si>
  <si>
    <t>513</t>
  </si>
  <si>
    <t>Програмска активност 0001 (ПА 0001)</t>
  </si>
  <si>
    <t>Програмска активност 0010 (ПА 0010)</t>
  </si>
  <si>
    <t>Програмска активност 0003 (ПА 0003)</t>
  </si>
  <si>
    <t>Програмска активност 0005 (ПА 0005)</t>
  </si>
  <si>
    <t>Програмска активност 0009 (ПА 0009)</t>
  </si>
  <si>
    <t>Услуге по уговору - Буџетски фонд за заштиту животне средине</t>
  </si>
  <si>
    <t>I</t>
  </si>
  <si>
    <t>II</t>
  </si>
  <si>
    <t>Трансфери од других нивоа власти</t>
  </si>
  <si>
    <t>Расходи из додатних прихода корисника</t>
  </si>
  <si>
    <t>4</t>
  </si>
  <si>
    <t>5</t>
  </si>
  <si>
    <t>7</t>
  </si>
  <si>
    <t>8</t>
  </si>
  <si>
    <t>Програм</t>
  </si>
  <si>
    <t>Програмска активност</t>
  </si>
  <si>
    <t>Опште јавне услуге које нису класификоване на другом месту</t>
  </si>
  <si>
    <t>Извршни и законодавни органи, финансијски и фискални послови и спољни послови</t>
  </si>
  <si>
    <t>УКУПНО  ПРОГРАМСКА АКТИВНОСТ 1502-0001</t>
  </si>
  <si>
    <t>УКУПНО  ПРОГРАМСКА АКТИВНОСТ 1502-0002</t>
  </si>
  <si>
    <t>ОПШТЕ ЈАВНЕ УСЛУГЕ КОЈЕ НИСУ КЛАСИФИКОВАНЕ НА ДРУГОМ МЕСТУ</t>
  </si>
  <si>
    <t>УКУПНО  ПРОГРАМСКА АКТИВНОСТ 1201-0001</t>
  </si>
  <si>
    <t>УКУПНО  ПРОГРАМСКА АКТИВНОСТ 1201-0002</t>
  </si>
  <si>
    <t>Субвенције јавним нефинансијским предузећима и организацијама - Установа Спортски центар</t>
  </si>
  <si>
    <t>Трансфери осталим нивоима власти-Центар за социјални рад "Дунав"</t>
  </si>
  <si>
    <t>Накнаде за социјалну заштиту из буџета - НОР и кадровачка помоћ</t>
  </si>
  <si>
    <t>Накнаде за социјалну заштиту из буџета - ПРОЈЕКТИ  из области социјалне заштите</t>
  </si>
  <si>
    <t>Накнаде за социјалну заштиту из буџета - Боравак деце у предшколским установама</t>
  </si>
  <si>
    <t xml:space="preserve">Пољопривреда </t>
  </si>
  <si>
    <t>Субвенције јавним нефинансијским предузећима и организацијама - АГЕНЦИЈА ЗА ИТ, ГИС И КОМУНИКАЦИЈЕ ОПШТИНЕ ИНЂИЈА</t>
  </si>
  <si>
    <t>Субвенције јавним нефинансијским предузећима и организацијама - АГЕНЦИЈА ЗА ЕКОНОМСКИ РАЗВОЈ ОПШТИНЕ ИНЂИЈА</t>
  </si>
  <si>
    <t>Заштита животне средине некласификована на другом месту</t>
  </si>
  <si>
    <t>Накнаде за социјалну заштиту из буџета - За подстицај запошљавања</t>
  </si>
  <si>
    <t>Дотације невладиним организацијама-Социохуманитарне организације</t>
  </si>
  <si>
    <t>Услуге по уговору - Регионална развојна агенција Срем</t>
  </si>
  <si>
    <t>Дотације невладиним организацијама - Програми и пројекти у области културе</t>
  </si>
  <si>
    <t>Дотације невладиним организацијама - спортске организације и спортисти</t>
  </si>
  <si>
    <t>Субвенције јавним нефинансијским предузећима и организацијама - ПОСЛОВНО - ОБРАЗОВНИ ЦЕНТАР   ИНЂИЈА</t>
  </si>
  <si>
    <t>Програмска активност 0006 (ПА 0006)</t>
  </si>
  <si>
    <t>Функционисање установа примарне здравствене заштите</t>
  </si>
  <si>
    <t>УКУПНИ ПРИХОДИ</t>
  </si>
  <si>
    <t>Капитални трансфери од других нивоа власти у корист нивоа општине</t>
  </si>
  <si>
    <t>Приходи општ.орг. од споредне продаје доб.и услуга које врше државне нетржишне јединице</t>
  </si>
  <si>
    <t>Приходи од новчаних казни за прекршаје у корист нивоа Републике</t>
  </si>
  <si>
    <t>Мешовити и неодређени приходи у корист нивоа општина</t>
  </si>
  <si>
    <t xml:space="preserve">Специјализоване услуге - Услуге одржавања природних површина </t>
  </si>
  <si>
    <t>Субвенције јавним нефинансијским предузећима и организацијама - АГЕНЦИЈА ЗА РУРАЛНИ РАЗВОЈ ОПШТИНЕ ИНЂИЈА</t>
  </si>
  <si>
    <t>АДМИНИСТРАТИВНИ ТРАНСФЕРИ ИЗ БУЏЕТА И СРЕДСТВА РЕЗЕРВЕ</t>
  </si>
  <si>
    <t>Накнаде за социјалну заштиту из буџета-путни трошкови студената</t>
  </si>
  <si>
    <t>Накнаде за социјалну заштиту из буџета - Народна кухиња</t>
  </si>
  <si>
    <t>Дотације организацијама обавезног социјалног осигурања</t>
  </si>
  <si>
    <t>1.1. Отплата главнице домаћим јавним финансијским институцијама и пословним банкама</t>
  </si>
  <si>
    <t>Економска
класификација</t>
  </si>
  <si>
    <t>71</t>
  </si>
  <si>
    <t>711</t>
  </si>
  <si>
    <t>714</t>
  </si>
  <si>
    <t>712+713+716+719</t>
  </si>
  <si>
    <t>74</t>
  </si>
  <si>
    <t>7411</t>
  </si>
  <si>
    <t>7415</t>
  </si>
  <si>
    <t>772</t>
  </si>
  <si>
    <t>731+732</t>
  </si>
  <si>
    <t>733</t>
  </si>
  <si>
    <t>41</t>
  </si>
  <si>
    <t>42</t>
  </si>
  <si>
    <t>44</t>
  </si>
  <si>
    <t>45</t>
  </si>
  <si>
    <t>47</t>
  </si>
  <si>
    <t>48+49</t>
  </si>
  <si>
    <t>4631</t>
  </si>
  <si>
    <t>4632</t>
  </si>
  <si>
    <t>(7+8)-(4+5)</t>
  </si>
  <si>
    <t>92</t>
  </si>
  <si>
    <t>91</t>
  </si>
  <si>
    <t>911</t>
  </si>
  <si>
    <t>9113+9114</t>
  </si>
  <si>
    <t>912</t>
  </si>
  <si>
    <t>62</t>
  </si>
  <si>
    <t>61</t>
  </si>
  <si>
    <t>611</t>
  </si>
  <si>
    <t>6113+6114</t>
  </si>
  <si>
    <t>612</t>
  </si>
  <si>
    <t>Члан 7.</t>
  </si>
  <si>
    <t>(7-7411+8)-(4-44+5)</t>
  </si>
  <si>
    <t>92-62</t>
  </si>
  <si>
    <t>ПРИМАРНИ СУФИЦИТ (ДЕФИЦИТ) (УКУПНИ ПРИХОДИ УМАЊЕНИ ЗА НАПЛАЋЕНЕ КАМАТЕ МИНУС УКУПНИ РАСХОДИ УМАЊЕНИ ЗА ПЛАЋЕНЕ КАМАТЕ)</t>
  </si>
  <si>
    <t>УКУПНИ ФИСКАЛНИ РЕЗУЛТАТ (III+VI)</t>
  </si>
  <si>
    <t>Б.ПРИМАЊА И ИЗДАЦИ ПО ОСНОВУ ПРОДАЈЕ, ОДНОСНО НАБАВКЕ ФИНАНСИЈСКЕ ИМОВИНЕ И ДАТИХ КРЕДИТА</t>
  </si>
  <si>
    <t>IV. ПРИМАЊА ОД ПРОДАЈЕ ФИНАНСИЈСКЕ ИМОВИНЕ И ОТПЛАТЕ ДАТИХ КРЕДИТА</t>
  </si>
  <si>
    <t>VII. ПРИМАЊА ОД ЗАДУЖИВАЊА</t>
  </si>
  <si>
    <t>1. Примања од  домаћих задуживања</t>
  </si>
  <si>
    <t>1.1. Задуживање код јавних финасијских институција и пословних банака</t>
  </si>
  <si>
    <t>9111+9112+9115+9116+9117+9118+9119</t>
  </si>
  <si>
    <t>VIII. ОТПЛАТА ГЛАВНИЦЕ</t>
  </si>
  <si>
    <t>6111+6112+6115+6116+6117+6118+6119</t>
  </si>
  <si>
    <t>X. НЕТО ФИНАСИРАЊЕ (VI+VII-VIII-IX)=-III</t>
  </si>
  <si>
    <t>3. Меморандумске ставке за рефундацију расхода из претходне године</t>
  </si>
  <si>
    <t>Текући расходи</t>
  </si>
  <si>
    <t>В. ЗАДУЖИВАЊЕ И ОТПЛАТА ДУГА</t>
  </si>
  <si>
    <t>VI. ПРИМАЊА ПО ОСНОВУ ПРОДАЈЕ ФИНАНСИЈСКЕ ИМОВИНЕ И ОТПЛАТЕ КРЕДИТА МИНУС ИЗДАЦИ ПО ОСНОВУ ДАТИХ КРЕДИТА И НАБАВКЕ ФИНАСИЈСКЕ ИМОВИНЕ</t>
  </si>
  <si>
    <t>IX. ВИШАК ПРИХОДА И ПРИМАЊА - СУФИЦИТ (III+VI+VII-VIII)</t>
  </si>
  <si>
    <t>НАЗИВ ПРОГРАМА</t>
  </si>
  <si>
    <t>ШИФРА ПРОГРАМА</t>
  </si>
  <si>
    <t>ПРОГРАМ</t>
  </si>
  <si>
    <t>РАЗВОЈ ТУРИЗМА</t>
  </si>
  <si>
    <t>1502</t>
  </si>
  <si>
    <t>ЛОКАЛНИ ЕКОНОМСКИ РАЗВОЈ</t>
  </si>
  <si>
    <t>ЗАШТИТА ЖИВОТНЕ СРЕДИНЕ</t>
  </si>
  <si>
    <t>2001</t>
  </si>
  <si>
    <t>2002</t>
  </si>
  <si>
    <t>2003</t>
  </si>
  <si>
    <t>СОЦИЈАЛНА И ДЕЧИЈА ЗАШТИТА</t>
  </si>
  <si>
    <t>1201</t>
  </si>
  <si>
    <t>РАЗВОЈ СПОРТА И ОМЛАДИНЕ</t>
  </si>
  <si>
    <t>МЕМОРАНДУМСКЕ СТАВКЕ ЗА РЕФУНДАЦИЈУ РАСХОДА</t>
  </si>
  <si>
    <t>Меморандумске ставке за рефундацију расхода</t>
  </si>
  <si>
    <t>Приходи индиректних корисника буџетских средстава који се остварују додатним активностима</t>
  </si>
  <si>
    <t>ДОБРОВОВОЉНИ ТРАНСФЕРИ ОД ФИЗИЧКИХ И ПРАВНИХ ЛИЦА</t>
  </si>
  <si>
    <t>Текући добровољни трансфери од физичких и правних лица у корист нивоа општина</t>
  </si>
  <si>
    <t>ПРИМАЊА ОД ПРОДАЈЕ РОБЕ ЗА ДАЉУ ПРОДАЈУ</t>
  </si>
  <si>
    <t>Примања од продаје робе за даљу продају у корист нивоа општина</t>
  </si>
  <si>
    <t>Шифра</t>
  </si>
  <si>
    <t>Назив</t>
  </si>
  <si>
    <t>Циљ</t>
  </si>
  <si>
    <t>Индикатор</t>
  </si>
  <si>
    <t xml:space="preserve"> Програмска активност/  Пројекат</t>
  </si>
  <si>
    <t>2</t>
  </si>
  <si>
    <t>Усвојен просторни план града/општине</t>
  </si>
  <si>
    <t>Програм 3.  Локални економски развој</t>
  </si>
  <si>
    <t>Програм 4.  Развој туризма</t>
  </si>
  <si>
    <t>Програм 6.  Заштита животне средине</t>
  </si>
  <si>
    <t>Програм 8.  Предшколско васпитање</t>
  </si>
  <si>
    <t xml:space="preserve">Потпуни обухват основним  образовањем и  васпитањем </t>
  </si>
  <si>
    <t>Програм 11.  Социјална  и дечја заштита</t>
  </si>
  <si>
    <t xml:space="preserve">Унапређење заштите сиромашних </t>
  </si>
  <si>
    <t>Програм 14.  Развој спорта и омладине</t>
  </si>
  <si>
    <t xml:space="preserve">УКУПНИ РАСХОДИ ПО ПРОГРАМИМА </t>
  </si>
  <si>
    <t>Текући трансфери од других нивоа власти у корист нивоа општине</t>
  </si>
  <si>
    <t>У  К  У  П  Н  О</t>
  </si>
  <si>
    <t>РАСХОДИ ИСКАЗАНИ ПО ПРОГРАМСКОЈ КЛАСИФИКАЦИЈИ- ПОСЕБАН ДЕО ЦИЉЕВИ И ИНДИКАТОРИ</t>
  </si>
  <si>
    <t>Програмска активност 0004 (ПА 0004)</t>
  </si>
  <si>
    <t>0602-0004</t>
  </si>
  <si>
    <t>IV</t>
  </si>
  <si>
    <t>472</t>
  </si>
  <si>
    <t>Накнаде за социјалну заштиту из буџета - Јавни превоз</t>
  </si>
  <si>
    <t>416</t>
  </si>
  <si>
    <t>Трансфери од осталих нивоа власти</t>
  </si>
  <si>
    <t>0101-0002</t>
  </si>
  <si>
    <t>Субвенције јавним нефинансијским предузећима и организацијама -
БУЏЕТСКИ ФОНД ЗА ПОЉОПРИВРЕДУ И РУРАЛНИ РАЗВОЈ ОПШТИНЕ ИНЂИЈА</t>
  </si>
  <si>
    <t xml:space="preserve">Специјализоване услуге </t>
  </si>
  <si>
    <t>Остале новчане казне, пенали и приходи од одузете имовинске користи у корист нивоа републике</t>
  </si>
  <si>
    <t>Специјализоване услуге - ЈП за сакупљање и одлагање отпада и одржавање депонија "ИНГРИН"</t>
  </si>
  <si>
    <t>Порези, обавезне таксе, казне и пенали - Накнада за одводњавање</t>
  </si>
  <si>
    <t>2101-0001</t>
  </si>
  <si>
    <t>Функционисање Скупштине</t>
  </si>
  <si>
    <t>Општинско/градско правобранилаштво</t>
  </si>
  <si>
    <t>ПРОГРАМ 16 - ПОЛИТИЧКИ СИСТЕМ ЛОКАЛНЕ САМОУПРАВЕ</t>
  </si>
  <si>
    <t>2101</t>
  </si>
  <si>
    <t>ПРОГРАМ 15 - ОПШТЕ УСЛУГЕ ЛОКАЛНЕ САМОУПРАВЕ</t>
  </si>
  <si>
    <t>2101-0002</t>
  </si>
  <si>
    <t>Функционисање извршних органа</t>
  </si>
  <si>
    <t>0602-0009</t>
  </si>
  <si>
    <t>Текућа буџетска резерва</t>
  </si>
  <si>
    <t>Стална буџетска резерва</t>
  </si>
  <si>
    <t>Подршка реализацији програма Црвеног крста</t>
  </si>
  <si>
    <t>ПРОГРАМ 11 - СОЦИЈАЛНА И ДЕЧИЈА ЗАШТИТА</t>
  </si>
  <si>
    <t>Унапређење привредног  и инвестиционог амбијента</t>
  </si>
  <si>
    <t>1201-0003</t>
  </si>
  <si>
    <t>Унапређење система очувања и представљања културно-историјског наслеђа</t>
  </si>
  <si>
    <t>1201-0004</t>
  </si>
  <si>
    <t>Остваривање и унапређивање јавног интереса у области јавног информисања</t>
  </si>
  <si>
    <t>Функционисање месних заједница</t>
  </si>
  <si>
    <t xml:space="preserve">Промоција туристичке понуде </t>
  </si>
  <si>
    <t>Унапређење привредног и инвестиционог амбијента</t>
  </si>
  <si>
    <t>Јачање културне продукције и  уметничког стваралаштва</t>
  </si>
  <si>
    <t>Подршка реализацији програма  Црвеног крста</t>
  </si>
  <si>
    <t>ПРОГРАМ 10 - СРЕДЊЕ ОБРАЗОВАЊЕ И ВАСПИТАЊЕ</t>
  </si>
  <si>
    <t>ПРОГРАМ 9 - ОСНОВНО ОБРАЗОВАЊЕ И ВАСПИТАЊЕ</t>
  </si>
  <si>
    <t>ПРОГРАМ 12 -  ЗДРАВСТВЕНА ЗАШТИТА</t>
  </si>
  <si>
    <t>Управљање/одржавање јавним осветљењем</t>
  </si>
  <si>
    <t>ПРОГРАМ 7 - ОРГАНИЗАЦИЈА САОБРАЋАЈА И САОБРАЋАЈНА ИНФРАСТРУКТУРА</t>
  </si>
  <si>
    <t>Просторно и урбанистичко планирање</t>
  </si>
  <si>
    <t>1102</t>
  </si>
  <si>
    <t>ПРОГРАМ 2 - КОМУНАЛНЕ ДЕЛАТНОСТИ</t>
  </si>
  <si>
    <t>ПРОГРАМ 1 - УРБАНИЗАМ И ПРОСТОРНО ПЛАНИРАЊЕ</t>
  </si>
  <si>
    <t>1102-0001</t>
  </si>
  <si>
    <t>ПРОГРАМ 5 - ПОЉОПРИВРЕДА И РУРАЛНИ РАЗВОЈ</t>
  </si>
  <si>
    <t>Подршка за спровођење пољопривредне политике у локалној заједници</t>
  </si>
  <si>
    <t>Мере подршке руралном развоју</t>
  </si>
  <si>
    <t>0401-0005</t>
  </si>
  <si>
    <t>1102-0002</t>
  </si>
  <si>
    <t>Одржавање јавних зелених површина</t>
  </si>
  <si>
    <t>Јавни градски и приградски превоз путника</t>
  </si>
  <si>
    <t>1301-0004</t>
  </si>
  <si>
    <t>Функционисање локалних спортских установа</t>
  </si>
  <si>
    <t>Услуге по уговору - Поклони за истакнуте ученике и спортисте</t>
  </si>
  <si>
    <t>"ИНЂИЈА ПУТ" ИНЂИЈА</t>
  </si>
  <si>
    <t xml:space="preserve">Специјализоване услуге-Видео надзор </t>
  </si>
  <si>
    <t>Субвенције приватним предузећима</t>
  </si>
  <si>
    <t xml:space="preserve">Планирање, уређење и коришћење простора у локалној заједници </t>
  </si>
  <si>
    <t xml:space="preserve">Проценат покривености територије урбанистичком планском документацијом </t>
  </si>
  <si>
    <t xml:space="preserve">Повећање покривености територије планском и урбанистичком документацијом </t>
  </si>
  <si>
    <t xml:space="preserve">Адекватан квалитет пружених услуга уређења и одржавања јавних зелених површина </t>
  </si>
  <si>
    <t xml:space="preserve">Динамика уређења јавних зелених површина </t>
  </si>
  <si>
    <t xml:space="preserve">Повећање запослености на територији општине </t>
  </si>
  <si>
    <t xml:space="preserve">Број становника који су запослени на новим радним местима а налазили су се на евиденцији НСЗ </t>
  </si>
  <si>
    <t xml:space="preserve">Подстицаји општине за развој предузетништва </t>
  </si>
  <si>
    <t xml:space="preserve">Број новооснованих предузећа на територији општине уз учешће подстицаја локалне самоуправе у односу на укупан број новооснованих предузетничких радњи </t>
  </si>
  <si>
    <t xml:space="preserve">Повећање прихода од туризма </t>
  </si>
  <si>
    <t xml:space="preserve">Проценат повећања укупног броја гостију </t>
  </si>
  <si>
    <t xml:space="preserve">Повећање квалитета туристичке понуде и услуге </t>
  </si>
  <si>
    <t>Проценат реализације програма развоја туризма општине у односу на годишњи план</t>
  </si>
  <si>
    <t xml:space="preserve">Адекватна промоција туристичке понуде општине на циљаним тржиштима </t>
  </si>
  <si>
    <t xml:space="preserve">Број дистрибуираног промотивног материјала </t>
  </si>
  <si>
    <t xml:space="preserve">Програм 5.  Пољопривреда и рурални развој </t>
  </si>
  <si>
    <t xml:space="preserve">Раст производње и стабилност дохотка произвођача </t>
  </si>
  <si>
    <t xml:space="preserve">Стварање услова за развој и унапређење пољопривредне производње </t>
  </si>
  <si>
    <t xml:space="preserve">Број учесника едукација </t>
  </si>
  <si>
    <t xml:space="preserve">Број регистрованих пољопривредних газдинстава који су корисници мера руралног развоја у односу на укупан број пољопривредних газдинстава </t>
  </si>
  <si>
    <t xml:space="preserve">Проценат територије под заштитом III категорије </t>
  </si>
  <si>
    <t>0401-0004</t>
  </si>
  <si>
    <t xml:space="preserve">Адекватан квалитет пружених услуга одвођења отпадних вода </t>
  </si>
  <si>
    <t xml:space="preserve">Број интервенција на канализационој мрежи </t>
  </si>
  <si>
    <t xml:space="preserve">Спровођење редовних мерења на територији општине и испуњење обавеза у складу са законима </t>
  </si>
  <si>
    <t xml:space="preserve">Програм 7.  Организација саобраћаја и саобраћајна инфраструктура </t>
  </si>
  <si>
    <t xml:space="preserve">Повећање безбедности учесника у саобраћају и смањење броја саобраћајних незгода  </t>
  </si>
  <si>
    <t xml:space="preserve">Број повређених људи </t>
  </si>
  <si>
    <t xml:space="preserve">Опремање и одржавање саобраћајне сигнализације на путевима и улицама </t>
  </si>
  <si>
    <t xml:space="preserve">Дужина хоризонталне саобраћајне сигнализације ( у км) </t>
  </si>
  <si>
    <t>0701-0004</t>
  </si>
  <si>
    <t xml:space="preserve">Јавни градски и приградски превоз путника </t>
  </si>
  <si>
    <t xml:space="preserve">Адекватан квалитет пружених услуга јавног превоза </t>
  </si>
  <si>
    <t xml:space="preserve">Просечна старост возила јавног превоза </t>
  </si>
  <si>
    <t xml:space="preserve">Повећање обухвата деце предшколским васпитањем и образовањем </t>
  </si>
  <si>
    <t xml:space="preserve">Проценат уписане деце у односу на број укупно пријављење деце </t>
  </si>
  <si>
    <t xml:space="preserve">Унапређења квалитета предшколског образовања и васпитања </t>
  </si>
  <si>
    <t xml:space="preserve">Број објеката у којима су извршена инвестициона улагања на годишњем нивоу , у односу на укупан број објеката ПУ </t>
  </si>
  <si>
    <t xml:space="preserve">Програм 9.  Основно образовање и васпитање </t>
  </si>
  <si>
    <t xml:space="preserve">Обухават деце основним образовањем ( разложено према полу) </t>
  </si>
  <si>
    <t xml:space="preserve">Унапређење квалитета образовања и васпитања у основним школама </t>
  </si>
  <si>
    <t xml:space="preserve">Број учесника који похађају вананаставне активности у односу на укупан број учесника </t>
  </si>
  <si>
    <t xml:space="preserve">Програм 10. Средње образовање и васпитање </t>
  </si>
  <si>
    <t xml:space="preserve">Повећање обухвата средњешколског образовања </t>
  </si>
  <si>
    <t xml:space="preserve">Број деце која су обухваћена средњим образоваењем ( разложено по полу) </t>
  </si>
  <si>
    <t xml:space="preserve">Унапређење квалитета образовања у средњим школама </t>
  </si>
  <si>
    <t xml:space="preserve">Број талентоване деце подржане од стране општине у односу на укупан број деце у школама </t>
  </si>
  <si>
    <t xml:space="preserve">Повећање доступности и права социјалне заштите </t>
  </si>
  <si>
    <t xml:space="preserve">Проценат корисника локалних социјалних услуга у односу на укупан број корисника социјалне и дечје заштите </t>
  </si>
  <si>
    <t xml:space="preserve">Број корисника једнократне новчане помоћи у односу на укупан број грађана </t>
  </si>
  <si>
    <t xml:space="preserve">Социјално деловање - олакшавање људске патње пружањем неопходне ургентне помоћи лицима у невољи , развијањем солидарности међу људима , организовањем различитих облика помоћи </t>
  </si>
  <si>
    <t xml:space="preserve">Број волонтера Црвеног крста </t>
  </si>
  <si>
    <t xml:space="preserve">Унапређење услуга социјалне заштите за децу и породицу </t>
  </si>
  <si>
    <t xml:space="preserve">Број корисника услуга </t>
  </si>
  <si>
    <t>Програм 12.  Здравствена заштита</t>
  </si>
  <si>
    <t xml:space="preserve">Унапређење здравља становништва </t>
  </si>
  <si>
    <t xml:space="preserve">Покривеност становништва примарном здравственом заштитом </t>
  </si>
  <si>
    <t xml:space="preserve">Унапређење доступности , квалитета и ефикасности ПЗЗ </t>
  </si>
  <si>
    <t xml:space="preserve">Број обраћања саветнику за заштите права пацијената </t>
  </si>
  <si>
    <t xml:space="preserve">Програм 13.  Развој културе и информисања </t>
  </si>
  <si>
    <t xml:space="preserve">Подстицање развоја културе </t>
  </si>
  <si>
    <t xml:space="preserve">Укупан број посетилаца на свим културним догађајима који су одржани </t>
  </si>
  <si>
    <t xml:space="preserve">Обезбеђење редовног функционисања установа културе </t>
  </si>
  <si>
    <t xml:space="preserve">Број запослених у установама културе у односу на укупан број запсолених у ЈЛС </t>
  </si>
  <si>
    <t xml:space="preserve">Унапређење разноврсности културне понуде </t>
  </si>
  <si>
    <t xml:space="preserve">Број програма и пројеката удружења грађана подржаних од стране општине </t>
  </si>
  <si>
    <t xml:space="preserve">Повећана понуда квалитетних медијских садржаја из области друштвеног живота локалне заједнице </t>
  </si>
  <si>
    <t xml:space="preserve">Број различитих тематских типова програма за боље информисање </t>
  </si>
  <si>
    <t xml:space="preserve">Обезбеђење услова за бављење спортом свих грађана и грађанки општине </t>
  </si>
  <si>
    <t xml:space="preserve">Број чланова спортских организација и удружења </t>
  </si>
  <si>
    <t xml:space="preserve">Унапређење рекреативног спорта </t>
  </si>
  <si>
    <t xml:space="preserve">Број програма омасовљења женског спорта </t>
  </si>
  <si>
    <t xml:space="preserve">Обезбеђивање услова за рад установа из области спорта </t>
  </si>
  <si>
    <t xml:space="preserve">Степен искоришћености капацитета установа </t>
  </si>
  <si>
    <t xml:space="preserve">Програм 15. Опште услуге локалне самоуправе </t>
  </si>
  <si>
    <t xml:space="preserve">Суфицит или дефицит локалног буџета </t>
  </si>
  <si>
    <t xml:space="preserve">Функционисање управе </t>
  </si>
  <si>
    <t xml:space="preserve">Број решених предмета по запосленом </t>
  </si>
  <si>
    <t xml:space="preserve">Број иницијатива/ предлога месних заједница према општини у вези са питањима од интереса за локално становништво </t>
  </si>
  <si>
    <t xml:space="preserve">Заштита имовинских права и интереса општине </t>
  </si>
  <si>
    <t xml:space="preserve">Број решених предмета у односу на укупан број предмета на годишњем нивоу </t>
  </si>
  <si>
    <t xml:space="preserve">Програм 16. Политички систем локалне самоуправе </t>
  </si>
  <si>
    <t xml:space="preserve">Ефикасно и ефективно функционисање органа политичког система локалне самоуправе </t>
  </si>
  <si>
    <t xml:space="preserve">Функционисање локалне скупштине </t>
  </si>
  <si>
    <t xml:space="preserve">Број усвојених аката </t>
  </si>
  <si>
    <t xml:space="preserve">Функционисање извршних органа </t>
  </si>
  <si>
    <t>0501</t>
  </si>
  <si>
    <t>УРБАНИЗАМ И ПРОСТОРНО ПЛАНИРАЊЕ</t>
  </si>
  <si>
    <t>КОМУНАЛНЕ ДЕЛАТНОСТИ</t>
  </si>
  <si>
    <t>ПОЉОПРИВРЕДА И РУРАЛНИ РАЗВОЈ</t>
  </si>
  <si>
    <t>ОРГАНИЗАЦИЈА САОБРАЋАЈА И САОБРАЋАЈНА ИНФРАСТРУКТУРА</t>
  </si>
  <si>
    <t>ПРЕДШКОЛСКО ВАСПИТАЊЕ И ОБРАЗОВАЊЕ</t>
  </si>
  <si>
    <t>ОСНОВНО ОБРАЗОВАЊЕ И ВАСПИТАЊЕ</t>
  </si>
  <si>
    <t>СРЕДЊЕ ОБРАЗОВАЊЕ И ВАСПИТАЊЕ</t>
  </si>
  <si>
    <t>ЗДРАВСТВЕНА ЗАШТИТА</t>
  </si>
  <si>
    <t>РАЗВОЈ КУЛТУРЕ И ИНФОРМИСАЊА</t>
  </si>
  <si>
    <t>ОПШТЕ УСЛУГЕ ЛОКАЛНЕ САМОУПРАВЕ</t>
  </si>
  <si>
    <t>ПОЛИТИЧКИ СИСТЕМ ЛОКАЛНЕ САМОУПРАВЕ</t>
  </si>
  <si>
    <t>ЕНЕРГЕТСКА ЕФИКАСНОСТ И ОБНОВЉИВИ ИЗВОРИ ЕНЕРГИЈЕ</t>
  </si>
  <si>
    <t>512</t>
  </si>
  <si>
    <t>Дотације невладиним организацијама - превоз спортиста</t>
  </si>
  <si>
    <t>Управљање отпадним водама</t>
  </si>
  <si>
    <t>16</t>
  </si>
  <si>
    <t>Родитељски динар за ваннаставне активности</t>
  </si>
  <si>
    <t>Накнаде за социјалну заштиту из буџета -Финансирање вантелесне оплодње</t>
  </si>
  <si>
    <t>ПРОГРАМ 13 - РАЗВОЈ КУЛТУРЕ И ИНФОРМИСАЊА</t>
  </si>
  <si>
    <t xml:space="preserve">Коришћење пољопривредних површина у односу на укупне пољопривредне површине </t>
  </si>
  <si>
    <t xml:space="preserve">Унапређење заштите природе </t>
  </si>
  <si>
    <t xml:space="preserve">Број спроведених мерења количина комуналног отпада у складу са Законом о управљању отпадом </t>
  </si>
  <si>
    <t>Одрживо управно и финансијско функционисање општине у складу са надлежностима и пословима локалне самоуправе</t>
  </si>
  <si>
    <t xml:space="preserve">Обезбеђено задовољавање потреба и интереса локалног становништва деловањем месних заједница </t>
  </si>
  <si>
    <t>Обезбеђење услуге смештаја</t>
  </si>
  <si>
    <t>Јачање културне продукције и уметничког стваралаштва</t>
  </si>
  <si>
    <t>Зграде и грађевински објекти</t>
  </si>
  <si>
    <t>Унапређење административних процедура и развој адекватних сервиса и услуга за пружање подршке постојећој привреди</t>
  </si>
  <si>
    <t>Број унапређених процедура ради лакшег пословања привреде на локалном нивоу</t>
  </si>
  <si>
    <t>УКУПНО  ПРОГРАМСКА АКТИВНОСТ 0701-0004</t>
  </si>
  <si>
    <t>421</t>
  </si>
  <si>
    <t>06</t>
  </si>
  <si>
    <t>Донације од међународних организација</t>
  </si>
  <si>
    <t>УКУПНО  ПРОГРАМСКА АКТИВНОСТ 0602-0009</t>
  </si>
  <si>
    <t>УКУПНО  ПРОГРАМСКА АКТИВНОСТ 0602-0010</t>
  </si>
  <si>
    <t>УКУПНО  ПРОГРАМСКА АКТИВНОСТ 0901-0005</t>
  </si>
  <si>
    <t>Дотације невладиним организацијама - Верске заједнице</t>
  </si>
  <si>
    <t>УКУПНО  ПРОГРАМСКА АКТИВНОСТ 1501-0001</t>
  </si>
  <si>
    <t>УКУПНО  ПРОГРАМСКА АКТИВНОСТ 1201-0004</t>
  </si>
  <si>
    <t>УКУПНО  ПРОГРАМСКА АКТИВНОСТ 1201-0003</t>
  </si>
  <si>
    <t>Услуге по уговору - Информисање</t>
  </si>
  <si>
    <t>УКУПНО  ПРОГРАМСКА АКТИВНОСТ 1301-0001</t>
  </si>
  <si>
    <t>УКУПНО  ПРОГРАМСКА АКТИВНОСТ 0602-0001</t>
  </si>
  <si>
    <t>УКУПНО  ПРОГРАМСКА АКТИВНОСТ 0602-0002</t>
  </si>
  <si>
    <t>УКУПНО  ПРОГРАМСКА АКТИВНОСТ 2003-0001</t>
  </si>
  <si>
    <t>УКУПНО  ПРОГРАМСКА АКТИВНОСТ 2002-0001</t>
  </si>
  <si>
    <t>УКУПНО  ПРОГРАМСКА АКТИВНОСТ 2001-0001</t>
  </si>
  <si>
    <t>УКУПНО ПРОГРАМСКА АКТИВНОСТ 1501-0001</t>
  </si>
  <si>
    <t>УКУПНО  ПРОГРАМСКА АКТИВНОСТ 0901-0001</t>
  </si>
  <si>
    <t>УКУПНО  ПРОГРАМСКА АКТИВНОСТ 0901-0006</t>
  </si>
  <si>
    <t>УКУПНО  ПРОГРАМСКА АКТИВНОСТ 0901-0002</t>
  </si>
  <si>
    <t>УКУПНО  ПРОГРАМСКА АКТИВНОСТ 1801-0001</t>
  </si>
  <si>
    <t>УКУПНО  ПРОГРАМСКА АКТИВНОСТ 0701-0002</t>
  </si>
  <si>
    <t>УКУПНО  ПРОГРАМСКА АКТИВНОСТ 0101-0001</t>
  </si>
  <si>
    <t>УКУПНО  ПРОГРАМСКА АКТИВНОСТ 0101-0002</t>
  </si>
  <si>
    <t>УКУПНО  ПРОГРАМСКА АКТИВНОСТ 0401-0005</t>
  </si>
  <si>
    <t>ОПИС</t>
  </si>
  <si>
    <t>УКУПНО  ПРОГРАМСКА АКТИВНОСТ 1501-0003</t>
  </si>
  <si>
    <t>УКУПНО  ПРОГРАМСКА АКТИВНОСТ 2101-0002</t>
  </si>
  <si>
    <t>УКУПНО  ПРОГРАМСКА АКТИВНОСТ 2101-0001</t>
  </si>
  <si>
    <t>УКУПНО  ПРОГРАМСКА АКТИВНОСТ 0602-0004</t>
  </si>
  <si>
    <t>УКУПНО ЗА ПРОЈЕКАТ 2 "ИЗРАДА СПОМЕН ОБЕЛЕЖЈА"</t>
  </si>
  <si>
    <t>УКУПНО  ПРОГРАМСКА АКТИВНОСТ 1301-0004</t>
  </si>
  <si>
    <t>УКУПНО  ПРОГРАМСКА АКТИВНОСТ 1102-0001</t>
  </si>
  <si>
    <t>УКУПНО  ПРОГРАМСКА АКТИВНОСТ 0401-0004</t>
  </si>
  <si>
    <t>УКУПНО  ПРОГРАМСКА АКТИВНОСТ 1101-0001</t>
  </si>
  <si>
    <t>УКУПНО  ПРОГРАМСКА АКТИВНОСТ 1102-0002</t>
  </si>
  <si>
    <t>Приходи од продаје добара и услуга од стране тржишних организација у корист нивоа Републике</t>
  </si>
  <si>
    <t>Накнада штете за повреде или штету нанету од стране државних органа</t>
  </si>
  <si>
    <t xml:space="preserve">ПРОГРАМ 17 - ЕНЕРГЕТСКА ЕФИКАСНОСТ И ОБНОВЉИВИ ИЗВОРИ ЕНЕРГИЈЕ </t>
  </si>
  <si>
    <t>482</t>
  </si>
  <si>
    <t>Порези, обавезне таксе, казне, пенали и камате</t>
  </si>
  <si>
    <t xml:space="preserve">Програм 17. Енергетска ефикасност и обновљиви извори енергије </t>
  </si>
  <si>
    <t>Једнократне помоћи и други облици помоћи</t>
  </si>
  <si>
    <t>УЛИЧНА РАСВЕТА</t>
  </si>
  <si>
    <t>ПРОГРАМ 8 - ПРЕДШКОЛСКО ВАСПИТАЊЕ И ОБРАЗОВАЊЕ</t>
  </si>
  <si>
    <t>Подршка деци и породици са децом</t>
  </si>
  <si>
    <t>Породични и домски смештај, прихватилишта и друге врсте смештаја</t>
  </si>
  <si>
    <t>Управљање и одржавање саобраћајне инфраструктуре</t>
  </si>
  <si>
    <t>Подршка економском развоју и промоцији предузетништва</t>
  </si>
  <si>
    <t>0401-0003</t>
  </si>
  <si>
    <t>Заштита природе</t>
  </si>
  <si>
    <t xml:space="preserve">Нематеријална имовина </t>
  </si>
  <si>
    <t>08</t>
  </si>
  <si>
    <t xml:space="preserve">Добровољни трансфери од физичких и правних лица </t>
  </si>
  <si>
    <t>Накнаде за социјалну заштиту из буџета --Центар за социјални рад "Дунав"</t>
  </si>
  <si>
    <t>Специјализоване услуге - Дан ослобођења Инђије</t>
  </si>
  <si>
    <t>Специјализоване услуге - Дан ослобођења у Првом светском рату</t>
  </si>
  <si>
    <t>Специјализоване услуге - Остале манифестације од значаја за Општину Инђија</t>
  </si>
  <si>
    <t>Накнаде за социјалну заштиту из буџета - Треће дете</t>
  </si>
  <si>
    <t>Зграде и грађевински објекти  - пројектна документација</t>
  </si>
  <si>
    <t>Зграде и грађевински објекти - прва фаза</t>
  </si>
  <si>
    <t>441</t>
  </si>
  <si>
    <t>444</t>
  </si>
  <si>
    <t>Специјализоване услуге - Градска слава Општине Инђија - Духови</t>
  </si>
  <si>
    <t xml:space="preserve">Накнаде  из буџета за становање и живот </t>
  </si>
  <si>
    <t>Специјализоване услуге -Фактурисање</t>
  </si>
  <si>
    <t>Специјализоване услуге - Фактурисање</t>
  </si>
  <si>
    <t>Специјализоване услуге -  Фактурисање</t>
  </si>
  <si>
    <t>Дотације организацијама обавезног социјалног осигурања - Здравство</t>
  </si>
  <si>
    <t>Субвенције јавним нефинансијским предузећима и организацијама</t>
  </si>
  <si>
    <t>Приходи од продаје добара и услуга или закупа од стране тржишних организација у корист нивоа општина</t>
  </si>
  <si>
    <t xml:space="preserve">Средства из буџета </t>
  </si>
  <si>
    <t>Унапређење заштите природних вредности</t>
  </si>
  <si>
    <t>УКУПНО  ПРОГРАМСКА АКТИВНОСТ 0401-0003</t>
  </si>
  <si>
    <t>Унапређење руралног развоја</t>
  </si>
  <si>
    <t>Функционисање и остваривање предшколског васпитања и образовања</t>
  </si>
  <si>
    <t>функционисање средњих школа</t>
  </si>
  <si>
    <t>Просечан број дана по кориснику услуге</t>
  </si>
  <si>
    <t xml:space="preserve">Унапређење презентације  културног  наслеђа  </t>
  </si>
  <si>
    <t>Број реализованих програма који промовишу локално културно историјског наслеђа у односу на број планираних програма</t>
  </si>
  <si>
    <t xml:space="preserve">ПРЕДСЕДНИК ОПШТИНЕ </t>
  </si>
  <si>
    <t>ОПШТИНСКО ВЕЋЕ</t>
  </si>
  <si>
    <t>Спортске стипендије</t>
  </si>
  <si>
    <t>ПРАВОБРАНИЛАШТВО ОПШТИНЕ ИНЂИЈА</t>
  </si>
  <si>
    <t>10</t>
  </si>
  <si>
    <t>Примања од домаћих задуживања</t>
  </si>
  <si>
    <t>Примања од задуживања од пословних банака у земљи у корист нивоа општина</t>
  </si>
  <si>
    <t>ПРИМАЊА ОД ЗАДУЖИВАЊА ОД ПОСЛОВНИХ БАНАКА У ЗЕМЉИ</t>
  </si>
  <si>
    <t>V. ИЗДАЦИ ПО ОСНОВУ ДАТИХ ПОЗАЈМИЦА И НАБАВКЕ ФИНАСИЈСКЕ ИМОВИНЕ</t>
  </si>
  <si>
    <t>Специјализоване услуге - Буџетски фонд за заштиту животне средине (дератизација, запрашивање комараца, заштита од амброзије и друго)</t>
  </si>
  <si>
    <t>Специјализоване услуге - Игре без граница</t>
  </si>
  <si>
    <t>Примања од продаје непокретности у корист нивоа општина</t>
  </si>
  <si>
    <t>ПРИМАЊА ОД ПРОДАЈЕ НЕПОКРЕТНОСТИ</t>
  </si>
  <si>
    <t>Услуге по уговору - Торбе за ђаке прваке</t>
  </si>
  <si>
    <t xml:space="preserve">Услуге по уговору - Израда софтвера, програмска презентација Општине Инђија </t>
  </si>
  <si>
    <t>1102-0004</t>
  </si>
  <si>
    <t>Зоохигијена</t>
  </si>
  <si>
    <t>УКУПНО  ПРОГРАМСКА АКТИВНОСТ 1102-0004</t>
  </si>
  <si>
    <t xml:space="preserve">Повећање покривености територије комуналним делатностима одржавања јавних зелених површина, одржавање чистоће на јавним површинама јавне намене и зоохигијене </t>
  </si>
  <si>
    <t>Број м2 територије покривен услугом зоохигијене у односу на укупан број м2 територије</t>
  </si>
  <si>
    <t>0602-0003</t>
  </si>
  <si>
    <t>Сервисирање јавног дуга</t>
  </si>
  <si>
    <t>УКУПНО  ПРОГРАМСКА АКТИВНОСТ 0602-0003</t>
  </si>
  <si>
    <t>ПРИМАЊА ОД ПРОДАЈЕ ПОКРЕТНИХ СТВАРИ</t>
  </si>
  <si>
    <t>Примања од продаје покретних ствари у корист нивоа општина</t>
  </si>
  <si>
    <t>Додатни приходи и приходи
 индиректних корисника</t>
  </si>
  <si>
    <t>Извори</t>
  </si>
  <si>
    <t>9</t>
  </si>
  <si>
    <t>V</t>
  </si>
  <si>
    <t>УКУПНО за главу 4</t>
  </si>
  <si>
    <t>УКУПНО за главу 5</t>
  </si>
  <si>
    <t>*</t>
  </si>
  <si>
    <t>0501-0001</t>
  </si>
  <si>
    <t>Унапређење и побољшање енергетске ефикасности и употреба обновљивих извора енергије</t>
  </si>
  <si>
    <t>УКУПНО  ПРОГРАМСКА АКТИВНОСТ 0501-0001</t>
  </si>
  <si>
    <t>УКУПНО ЗА ПРОЈЕКАТ</t>
  </si>
  <si>
    <t>Накнаде за социјалну заштиту из буџета - додатна образовна, здравствена и социјална подршка</t>
  </si>
  <si>
    <t>Специјализоване услуге - Летњи музички фестивал</t>
  </si>
  <si>
    <t>ПРОЈЕКАТ  - ПОДРШКА ДЕЦИ И ПОРОДИЦАМА СА ДЕЦОМ ОШТЕЋЕНОМ У РАЗВОЈУ - ИНО ПРОЈЕКАТ</t>
  </si>
  <si>
    <t>ПРОЈЕКАТ  - ПОДРШКА ДЕЦИ И ПОРОДИЦАМА СА ДЕЦОМ ОШТЕЋЕНОМ У РАЗВОЈУ</t>
  </si>
  <si>
    <t>УКУПНО РАСХОДИ</t>
  </si>
  <si>
    <t xml:space="preserve">УКУПНО ЗА ПРОЈЕКАТ </t>
  </si>
  <si>
    <t>УКУПНО ЗА ГЛАВУ 2</t>
  </si>
  <si>
    <t>ПРОЈЕКАТ  - Израда техничке документације и извођење радова на изградњи саобраћајнице са пратећом инфраструктуром и јавном расветом у Улици Нова 2 Инђија - прва фаза</t>
  </si>
  <si>
    <t>Комунална такса за приређивање музичког програма у угоститељским објектима</t>
  </si>
  <si>
    <t>Накнаде за коришћење природних добара</t>
  </si>
  <si>
    <t>ПРОЈЕКАТ Учешће у изградњи средњенапонског далековода од Новог Сланкамена до Сурдука</t>
  </si>
  <si>
    <t>ПРОЈЕКАТ  - Дунавско село "Риверленд"</t>
  </si>
  <si>
    <t>463</t>
  </si>
  <si>
    <t>464</t>
  </si>
  <si>
    <t>515</t>
  </si>
  <si>
    <t>499</t>
  </si>
  <si>
    <t>Дотације невладиним организацијама - инвестиције</t>
  </si>
  <si>
    <t>ПРОЈЕКАТ Израда пројектне документације за уређење парка Проте Радослава Марковића</t>
  </si>
  <si>
    <t>ПРОЈЕКАТ Израда пројектне документације за уређење парка са леве стране Новосадске улице у смеру ка Новом Саду</t>
  </si>
  <si>
    <t>ПРОЈЕКАТ Израда пројектне документације за уређење парка са десне стране Новосадске улице у смеру ка Новом Саду</t>
  </si>
  <si>
    <t>ПРОЈЕКАТ Израда пројектне документације за уређење парка код железничке станице</t>
  </si>
  <si>
    <t>ПРОЈЕКАТ Извођење радова на реконструкцији уређења паркова по пројектној документацији</t>
  </si>
  <si>
    <t>Стамбена подршка</t>
  </si>
  <si>
    <t>1101-0004</t>
  </si>
  <si>
    <t>УКУПНО за главу 3</t>
  </si>
  <si>
    <t>Рекреација, култура и вере некласификоване на другом месту</t>
  </si>
  <si>
    <t>УКУПНО за главу 1</t>
  </si>
  <si>
    <t>Члан 2.</t>
  </si>
  <si>
    <t>1301-0005</t>
  </si>
  <si>
    <t>Спровођење омладинске политике</t>
  </si>
  <si>
    <t>УКУПНО  ПРОГРАМСКА АКТИВНОСТ 1301-0005</t>
  </si>
  <si>
    <t>1801-0003</t>
  </si>
  <si>
    <t>УКУПНО  ПРОГРАМСКА АКТИВНОСТ 1803-0003</t>
  </si>
  <si>
    <t>ПРОЈЕКАТ - Израда пројектне документације за изградњу јавне расвете у индустријској зони  Бешка</t>
  </si>
  <si>
    <t>ПРОЈЕКАТ - Санација јавног осветљења у насељеном месту Јарковци у општини Инђија</t>
  </si>
  <si>
    <t>ПРОЈЕКАТ "Елаборат енергетске ефикасности зграде Центра за социјални рад "Дунав" у Инђији</t>
  </si>
  <si>
    <t>ПРОЈЕКАТ 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t>
  </si>
  <si>
    <t xml:space="preserve">УКУПНО  ПРОЈЕКАТ </t>
  </si>
  <si>
    <t>ПРОЈЕКАТ  - Санација отвореног школског терена у ОШ "Бранко Радичевић" у Марадику</t>
  </si>
  <si>
    <t>ПРОЈЕКАТ  - Завршетак изградње спортске хале у Инђији - ПАРТЕРНО УРЕЂЕЊЕ</t>
  </si>
  <si>
    <t>ПРОЈЕКАТ - Изградња спортске сале у Инђији - IV фаза</t>
  </si>
  <si>
    <t>ПРОЈЕКАТ - Израда пројекта и изградња на спортским теренима у Лејама - прва фаза</t>
  </si>
  <si>
    <t xml:space="preserve">ПРОЈЕКАТ - Уређење градског  базена </t>
  </si>
  <si>
    <t>ПРОЈЕКАТ - Израда пројектне документације реконструкције стадиона Хајдук у Бешки</t>
  </si>
  <si>
    <t>ПРОЈЕКАТ  - Изградња спортске хале у Бешки прва фаза</t>
  </si>
  <si>
    <t>ПРОЈЕКАТ  - Израда плана детаљне регулације дела блока 9 у насељу Бешка намењеном за спортско рекреативне садржаје и изградњу спортске сале</t>
  </si>
  <si>
    <t xml:space="preserve">ПРОЈЕКАТ  - Израда пројектне документације и реконструкција амбуланте у Бешки </t>
  </si>
  <si>
    <t xml:space="preserve">УКУПНО ЗА ПРОЈЕКАТ  </t>
  </si>
  <si>
    <t>ПРОЈЕКАТ  - ФИНАНСИРАЊЕ УСЛУГА СОЦИЈАЛНЕ ЗАШТИТЕ НА ТЕРИТОРИЈИ ОПШТИНЕ ИНЂИЈА</t>
  </si>
  <si>
    <t>ПРОЈЕКАТ  - БЕСПЛАТНЕ УЖИНЕ</t>
  </si>
  <si>
    <t>ПРОЈЕКАТ  -  Реконструкција објекта ОШ Душан Јерковић (дворац Пеачевић)</t>
  </si>
  <si>
    <t>ПРОЈЕКАТ  - Израда пројектне документације за доградњу вртића у Новом Сланкамену</t>
  </si>
  <si>
    <t>ПРОЈЕКАТ  - Школица живота - заједно за детињство - Вртић Љуково</t>
  </si>
  <si>
    <t>ПРОЈЕКАТ  - Израда пројектне документације и  изградња новог објекта за предшколску установу - прва фаза</t>
  </si>
  <si>
    <t>ПРОЈЕКАТ 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t>
  </si>
  <si>
    <t>ПРОЈЕКАТ  - Набавка вибро плоча са алатом</t>
  </si>
  <si>
    <t>ПРОЈЕКАТ  - Теренска и лабораторијска испитивања код изградње и асфалтирања путева</t>
  </si>
  <si>
    <t>ПРОЈЕКАТ  - Појачано одржавање коловоза ДП другог реда рег. пут број Р-109 од км 10+662,15 до км 10+861,64 са кружном раскрсницом у Инђији (Обилићев венац)</t>
  </si>
  <si>
    <t>ПРОЈЕКАТ  - Изградња саобраћајног прикључка  Улице Нове 3 на државни пут другог реда бр. 100 у Инђији</t>
  </si>
  <si>
    <t>ПРОЈЕКАТ  - Изградња саобраћајнице у Улици Нова 3 -  Блок 44 у Инђији</t>
  </si>
  <si>
    <t>ПРОЈЕКАТ  - Изградња паркинга у Блоку 44 у Инђији - Ламела</t>
  </si>
  <si>
    <t>ПРОЈЕКАТ - Израда пројектне документације за изградњу паркинга у Блоку 44 у Инђији - Ламела</t>
  </si>
  <si>
    <t>ПРОЈЕКАТ  - Изградња паркинга у улици Краља Петра</t>
  </si>
  <si>
    <t>ПРОЈЕКАТ - Израда пројектне документације за изградњу паркинга у улици Краља Петра</t>
  </si>
  <si>
    <t>ПРОЈЕКАТ  - Израда пројектне документације и изградња пешачке стазе  у улици 1. Новембра до Н. Тесле у Љукову</t>
  </si>
  <si>
    <t>ПРОЈЕКАТ - Израда пројектне документације и изградња пешачке стазе у целој дужини у улици Н. Тесле у Љукову</t>
  </si>
  <si>
    <t>ПРОЈЕКАТ- Стручни надзор над изградњом сервисне саобраћајнице у североисточној радној зони деоница од "Монуса" до "Гумапласта"</t>
  </si>
  <si>
    <t>ПРОЈЕКАТ  - Набавка опреме за посебна паркиралишта</t>
  </si>
  <si>
    <t>Члан 6.</t>
  </si>
  <si>
    <t>СКУПШТИНА ОПШТИНЕ ИНЂИЈА</t>
  </si>
  <si>
    <t xml:space="preserve">                                           </t>
  </si>
  <si>
    <t>Број:</t>
  </si>
  <si>
    <t>Дана:</t>
  </si>
  <si>
    <t>Милан Предојевић</t>
  </si>
  <si>
    <t>И Н Ђ И Ј А</t>
  </si>
  <si>
    <t>УКУПНО ПО ИЗВОРИМА</t>
  </si>
  <si>
    <t>План 
01.01 - 31.12.2019.</t>
  </si>
  <si>
    <t>Планско управљање стамбеном подрком</t>
  </si>
  <si>
    <t>Број корисника стамбене подршке</t>
  </si>
  <si>
    <t>Пружање комуналних услуга од значаја за остварење животних потреба физичких и правних лица</t>
  </si>
  <si>
    <t>Адекватно управбљање јавним осветљењем</t>
  </si>
  <si>
    <t>укупан број интервенција по поднетим иницијативама грађана за замену светиљки кад престану да раде</t>
  </si>
  <si>
    <t>121</t>
  </si>
  <si>
    <t>ПРОЈЕКАТ - Учешће у изградњи средњенапонског далековода од Н. Сланкамена до Сурдука</t>
  </si>
  <si>
    <t>ПРОЈЕКАТ - Израда пројектне документације за осветљење пешачких прелаза у зони школа</t>
  </si>
  <si>
    <t>ПРОЈЕКАТ - Изградња јавне расвете дуж саобраћајнице С2 и С3 (део) - Локација 15</t>
  </si>
  <si>
    <t>ПРОЈЕКАТ - Израда пројектне документације за изградњу јавне расвете у индустријској зони  Инђија - Локација 15</t>
  </si>
  <si>
    <t xml:space="preserve">ПРОЈЕКАТ  - ИЗГРАДЊА ДОМА КУЛТУРЕ У КРЧЕДИНУ </t>
  </si>
  <si>
    <t xml:space="preserve">ПРОЈЕКАТ  - ОПРЕМАЊЕ ДОМА КУЛТУРЕ У МАРАДИКУ </t>
  </si>
  <si>
    <t>ПРОЈЕКАТ - Израда техничке документације за реконструкцију Ловачког дома у Љукову</t>
  </si>
  <si>
    <t>ПРОЈЕКАТ - Израда техничке документације за гасификацију објекта Дома културе у Новим Карловцима</t>
  </si>
  <si>
    <t>ПРОЈЕКАТ - Текуће одржавње фасаде и просторија амбуланте у Новим Карловцима</t>
  </si>
  <si>
    <t>ПРОЈЕКАТ -  Санација  крова на објекту Дома културе у Новим Карловцима</t>
  </si>
  <si>
    <t>ПРОЈЕКАТ - Л А П - за унапређење образовања, запошљавања, здравља и становања Рома у општини Инђија 2016-2020. година</t>
  </si>
  <si>
    <t>ПРОЈЕКАТ  - Израда пројекта и изградња трим стазе са јавним осветљењем у Лејама</t>
  </si>
  <si>
    <t>ПРОЈЕКАТ - Израда пројектне документације и изградња тротоара око спортске хале у Инђији</t>
  </si>
  <si>
    <t>ПРОЈЕКАТ - Припрема, допуна документације и исходовање документације за завршетак радова на спортској хали у Инђији до добијања употребне дозволе и извођење радова</t>
  </si>
  <si>
    <t>ПРОЈЕКАТ  - Услуге закупа клизалишта</t>
  </si>
  <si>
    <t xml:space="preserve">УКУПНО ПРОЈЕКАТ </t>
  </si>
  <si>
    <t xml:space="preserve">ПРОЈЕКАТ - Општинске културне манифестације </t>
  </si>
  <si>
    <t>ПРОЈЕКАТ - ИЗРАДА СПОМЕН ОБЕЛЕЖЈА 2</t>
  </si>
  <si>
    <t>ПРОЈЕКАТ - ИЗРАДА СПОМЕН ОБЕЛЕЖЈА</t>
  </si>
  <si>
    <t>ПРОЈЕКАТ - СУФИНАНСИРАЊЕ ТЕКУЋИХ РАСХОДА И ИЗДАТАКА  ДРУГИХ СУБЈЕКАТА У КУЛТУРИ</t>
  </si>
  <si>
    <t>ПРОЈЕКАТ - Набавка возила за Дом здравља</t>
  </si>
  <si>
    <t>ПРОЈЕКАТ  - ФИНАНСИРАЊЕ ВАНТЕЛЕСНЕ ОПЛОДЊЕ</t>
  </si>
  <si>
    <t>ПРОЈЕКАТ  - Домски смештај ученика и студената</t>
  </si>
  <si>
    <t>ПРОЈЕКАТ  - ТШ Михајло Пупин Инђија - Инвестиционо одржавање фискултурне сале</t>
  </si>
  <si>
    <t>ПРОЈЕКАТ  - Доградња вртића на објекту Невен у Инђији</t>
  </si>
  <si>
    <t>ПРОЈЕКАТ  - ЈАВНИ РЕД И БЕЗБЕДНОСТ</t>
  </si>
  <si>
    <t>ПРОЈЕКАТ - Пројектовање и изградња јавне расвете на локацији Чарнок у Старом Сланкамену</t>
  </si>
  <si>
    <t>ПРОЈЕКАТ - Израда техничке документације и извођење радова на изградњи продужетака јавне расвете у улици Сремска кратка у Инђији</t>
  </si>
  <si>
    <t>ПРОЈЕКАТ - Израда техничке документације и извођење радова на изградњи јавног осветљења на месном стадиону у Крчедину</t>
  </si>
  <si>
    <t>ПРОЈЕКАТ - Изградња НН мреже Новосадска улица у Инђији</t>
  </si>
  <si>
    <t>ПРОЈЕКАТ - Изградња прикључног вода 20KV Новосадска 100 м у Инђији</t>
  </si>
  <si>
    <t>ПРОЈЕКАТ -  Изградња СТС Новосадска у Инђији</t>
  </si>
  <si>
    <t>ПРОЈЕКАТ -  Изградња НН мреже Каменова улица у Инђији</t>
  </si>
  <si>
    <t>ПРОЈЕКАТ - Изградња прикључног вода 20КV Каменова улица 500 м у Инђији</t>
  </si>
  <si>
    <t xml:space="preserve">ПРОЈЕКАТ - Изградња СТС Каменова  у Инђији </t>
  </si>
  <si>
    <t xml:space="preserve">ПРОЈЕКАТ-  Реконструкција СТС Дунавска у Бешки </t>
  </si>
  <si>
    <t>ПРОЈЕКАТ -  Измештање постојеће КТЦ "Дом културе у центру Бешка"</t>
  </si>
  <si>
    <t>ПРОЈЕКАТ -  Реконструкција /замена постојеће СТС "Крчевина"</t>
  </si>
  <si>
    <t>ПРОЈЕКАТ - Израда пројектне документације за реконструкцију раскрснице улица Лукачева (ДП другог реда), Главне и Челенске у насељу Нови Карловци</t>
  </si>
  <si>
    <t xml:space="preserve">ПРОЈЕКАТ - Израда пројектне документације за изградњу пешачких семафора на државном путу II А-100 кроз насељено место Инђија </t>
  </si>
  <si>
    <t>ПРОЈЕКАТ - Израда техничке документације за изградњу пешачке стазе од улице Каменова до Монуса са леве стране до А 126</t>
  </si>
  <si>
    <t>ПРОЈЕКАТ - Изградња саобраћајнице С1 и С2 (II фаза) у радној зони бр. 15 у Инђији са хидротехничком инфраструктуром - Пројекат водоводне мреже  (II фаза - С2)</t>
  </si>
  <si>
    <t>ПРОЈЕКАТ -  Стручни надзор над изградњом саобраћајнице С2  и фекалне канализације дуж саобраћајнице С3</t>
  </si>
  <si>
    <t xml:space="preserve">ПРОЈЕКАТ  -  Изградња саобраћајнице С2 и фекалне канализације дуж саобраћајнице С3 </t>
  </si>
  <si>
    <t>ПРОЈЕКАТ - Реконструкција пута на деоници Банстол - Хотел Норцев</t>
  </si>
  <si>
    <t>ПРОЈЕКАТ - Изградња пута Нови Карловци -Крчедин</t>
  </si>
  <si>
    <t>ПРОЈЕКАТ - Асфалтирање улица по насељеним местима општине Инђија</t>
  </si>
  <si>
    <t>ПРОЈЕКАТ - Појачано одржавање (рехабилитација) Голубиначке улице у  Инђији</t>
  </si>
  <si>
    <t>ПРОЈЕКАТ - Санација, поправка и извођење радова на пешачким стазама - тротоарима по насељеним местима општине Инђија</t>
  </si>
  <si>
    <t>ПРОЈЕКАТ - Израда техничке документације и извођење радова на изградњи кабловског вода 20KV са постојећег "20KV Бешка - Крчедин" далековода у дужини од цца. 500 м као и изградњу МБТС 20/0,4 KV у радној зони Бешка Локација 3</t>
  </si>
  <si>
    <t>ПРОЈЕКАТ- Израда пројектне документације и изградња пешачке стазе од градског базена до "Бразде" у Инђији</t>
  </si>
  <si>
    <t>ПРОЈЕКАТ - Израда пројеката техничке  регулације саобраћаја за време извођења радова</t>
  </si>
  <si>
    <t>ПРОЈЕКАТ - Израда пројектне документације за изградњу пешачких семафора на државном путу II А  - 100 кроз насељено место Инђија</t>
  </si>
  <si>
    <t>ПРОЈЕКАТ - Израда пројектне документације марине у Старом Сланкамену</t>
  </si>
  <si>
    <t>ПРОЈЕКАТ - Израда пројектне документације проширења коловоза у улици Фрушкогорска у Новом Сланкамену</t>
  </si>
  <si>
    <t>ПРОЈЕКАТ  - Израда пројектне документације проширења коловоза у улици Соње Маринковић у Инђији</t>
  </si>
  <si>
    <t>ПРОЈЕКАТ - Израда пројектне документације и изградња аутобуских стајалишта у улици Цара Душана у Крчедину</t>
  </si>
  <si>
    <t>ПРОЈЕКАТ  - Израда пројектне документације за  реконструкцију раскрснице улица Лукачева (ДП другог реда), Главне и Челенске у насељу  Нови Карловци</t>
  </si>
  <si>
    <t>ПРОЈЕКАТ  - Израда пројектне документације и  реконструкција пута од Виле "Станковић" у Чортановцима до Дунава</t>
  </si>
  <si>
    <t>ПРОЈЕКАТ  - Израда пројектне документације, изградња и реконструкција тротоара у насељу  Нови Карловци</t>
  </si>
  <si>
    <t>ПРОЈЕКАТ  - Израда пројектне документације и уређење ужег дела центра насеља  Крчедин</t>
  </si>
  <si>
    <t>ПРОЈЕКАТ - Израда пројектне документације за изградњу кружног тока у центру Бешке</t>
  </si>
  <si>
    <t>ПРОЈЕКАТ - Израда пројектне документације за изградњу кружног тока у Новом Сланкамену - раскрсница улица Цара Душана, Фрушкогорска и Дунавска</t>
  </si>
  <si>
    <t>ПРОЈЕКАТ - Израда пројектне документације упарених аутобуских стајалишта са нишама, у коридору државног пута  у улици Цара Душана у Марадику</t>
  </si>
  <si>
    <t>ПРОЈЕКАТ  - Израда Плана превентивних мера о повременим и привременим градилиштима</t>
  </si>
  <si>
    <t>ПРОЈЕКАТ  - Израда Плана техничке регулације саобраћаја за насељена места општине Инђија</t>
  </si>
  <si>
    <t>ПРОЈЕКАТ  - Реконструкција пута Л18 Нови Сланкамен - Сурдук</t>
  </si>
  <si>
    <t>ПРОЈЕКАТ  -  Извођење радова  државног пута II реда -126 - лево скретање за Гумапласт</t>
  </si>
  <si>
    <t>ПРОЈЕКАТ  - Израда пројектне документације и изградња упарених аутобуских стајалишта у Инђији, у улици Цара Душана</t>
  </si>
  <si>
    <t>ПРОЈЕКАТ - Израда пројектне документације и изградња пешачке стазе до Лесног профила</t>
  </si>
  <si>
    <t>ПРОЈЕКАТ - Израда и монтажа надстрешница за аутобуска стајалишта на територији општине Инђија</t>
  </si>
  <si>
    <t>ПРОЈЕКАТ - Израда пројектне документације и реконструкција  Трга Слободе у центру Инђије (фонтана)</t>
  </si>
  <si>
    <t>ПРОЈЕКАТ - ВИДЕО НАДЗОР ОД ЈАВНОГ ИНТЕРЕСА ЗА ОПШТИНУ ИНЂИЈА</t>
  </si>
  <si>
    <t>ПРОЈЕКАТ - ВИДЕО НАДЗОР У ОБРАЗОВНИМ УСТАНОВАМА</t>
  </si>
  <si>
    <t>ПРОЈЕКАТ - ВИДЕО НАДЗОР НА РАСКРСНИЦИ</t>
  </si>
  <si>
    <t xml:space="preserve">Специјализоване услуге - Видео надзор </t>
  </si>
  <si>
    <t>ПРОЈЕКАТ  -  Израда претходне студије оправданости за пречишћавање отпадних вода у индустријској зони у Инђији</t>
  </si>
  <si>
    <t>ПРОЈЕКАТ -Израда пројектне документације атмосферске канализације у улици Михаила Пупина  у Инђији</t>
  </si>
  <si>
    <t>ПРОЈЕКАТ  - Израда пројектне документације атмосферске канализације у улици Занатлијска трећи део у Инђији</t>
  </si>
  <si>
    <t>ПРОЈЕКАТ  - Израда Идејног решења атмосферске канализације насеља Инђија - слив 3</t>
  </si>
  <si>
    <t>ПРОЈЕКАТ - Изградња  атмосферске канализације у Војвођанској и улици Соње Маринковић</t>
  </si>
  <si>
    <t xml:space="preserve">ПРОЈЕКАТ  - Израда Идејног решења одвођења атмосферских вода насељених места Инђија </t>
  </si>
  <si>
    <t>ПРОЈЕКАТ -  Извођење радова на изградњи атмосферске канализације у улицама Иве Андрића и Расадничка у Бешки</t>
  </si>
  <si>
    <t>ПРОЈЕКАТ  - ИЗРАДА ПРОЈЕКТА САНАЦИЈЕ, ЗАТВАРАЊА И РЕКУЛТИВАЦИЈЕ ПОСТОЈЕЋЕ НЕСАНИТАРНЕ ОПШТИНСКЕ ДЕПОНИЈЕ - СМЕТЛИШТА У ИНЂИЈИ</t>
  </si>
  <si>
    <t xml:space="preserve">ПРОЈЕКАТ  - Узорковање  земљишта </t>
  </si>
  <si>
    <t>ПРОЈЕКАТ - Услуге премера и идентификације катастарских парцела пољопривредног земљишта у државној својини</t>
  </si>
  <si>
    <t>ПРОЈЕКАТ  -  Организовање пољочуварске службе</t>
  </si>
  <si>
    <t>ПРОЈЕКАТ  - Уређење каналске мреже у функцији одводњавања на подручју општине Инђија</t>
  </si>
  <si>
    <t>ПРОЈЕКАТ - РЕКОНСТРУКЦИЈА КЕЛТСКОГ НАСЕЉА</t>
  </si>
  <si>
    <t>ПРОЈЕКАТ - Израда 3Д модела рекламних плаката и брошура за потребе инвестиција предвиђених програмом</t>
  </si>
  <si>
    <t>ПРОЈЕКАТ - РАЗВОЈНИ ПРОЈЕКТИ</t>
  </si>
  <si>
    <t>УКУПНО ЗА ПРОЈЕКАТ  - РАЗВОЈНИ ПРОЈЕКТИ</t>
  </si>
  <si>
    <t>ПРОЈЕКАТ  - ПОДСТИЦАЈИ ЗА РАД ИНКУБАТОРА ЗА ИНОВАТИВНЕ START-UP КОМПАНИЈЕ</t>
  </si>
  <si>
    <t>ПРОЈЕКАТ  - Промоција општине Инђија</t>
  </si>
  <si>
    <t>ПРОЈЕКАТ  - СУБВЕНЦИОНИСАЊЕ ДЕЛА КАМАТНИХ СТОПА ЗА ПРЕДУЗЕЋА И ПРЕДУЗЕТНИКЕ</t>
  </si>
  <si>
    <t>ПРОЈЕКАТ  - ПОДСТИЦАЈИ ЗА РАЗВОЈ ПРЕДУЗЕТНИШТВА</t>
  </si>
  <si>
    <t>ПРОЈЕКАТ  - Израда геомеханичког елабората земљишта на локацији 15 у Инђији</t>
  </si>
  <si>
    <t>ПРОЈЕКАТ  - КОНКУРС ЗА ОСТАЛЕ НЕВЛАДИНЕ ОРГАНИЗАЦИЈЕ</t>
  </si>
  <si>
    <t>ПРОЈЕКАТ - Израда техничке документације за уградњу инсталација и опреме у ЦС фекалне канализације у С3 Локација 15 КО Инђија</t>
  </si>
  <si>
    <t>ПРОЈЕКАТ -  Изградња фекалне канализације дуж саобраћајнице С1 у радној зони Локација 15 КО Инђија у дужини 600 м</t>
  </si>
  <si>
    <t>ПРОЈЕКАТ - Набавка возила - ПАУК</t>
  </si>
  <si>
    <t>ПРОЈЕКАТ - Набавка камиона кипера и камиона смећара</t>
  </si>
  <si>
    <t>УКУПНО  ПРОЈЕКАТ</t>
  </si>
  <si>
    <t>Функционисање система енергетског менаџмента</t>
  </si>
  <si>
    <t>Постојање локалне одлуке о енергетској ефикасности</t>
  </si>
  <si>
    <t>Стварање услова за очување и унапређење здравља становништва</t>
  </si>
  <si>
    <t>Проценат реализованих у односу на број планираних посебних програма и пројеката из области јавног здравља</t>
  </si>
  <si>
    <t>ПРОЈЕКАТ  - Израда пројектне документације за изградњу пешачко бициклистичке стазе од Инђије до Јарковаца дуж пута Л-22 са јавном расветом</t>
  </si>
  <si>
    <t>ПРОЈЕКАТ - Израда техничке документације саобраћајница у индустријској зони Бешка</t>
  </si>
  <si>
    <t>ПРОЈЕКАТ - Изградња стубне трафо станице (СТС) Новосадска</t>
  </si>
  <si>
    <t xml:space="preserve">ПРОЈЕКАТ  - Изградња продужетака мреже јавне расвете у улицама на територији општине Инђија </t>
  </si>
  <si>
    <t>ПРОЈЕКАТ - Изградња стубне трафо станице (СТС) Каменова  улица</t>
  </si>
  <si>
    <t>ПРОЈЕКАТ  - Израда пројектне документације и извођење радова за хидромасажни базен и плато</t>
  </si>
  <si>
    <t>Спровођење активности из области друштвене бриге за јавно здравље</t>
  </si>
  <si>
    <t>ПРОЈЕКАТ - Израда техничке документације и извођење радова на изградњи двоструког кабловског вода у индустијској зони на Локацији 15 од МБТС Индофуд до планиране МБТС 2х630 КVA у дужини 2х1,1 км у зони раскрснице саобраћајница С1 и С3 и изградњу планиране трафо станице</t>
  </si>
  <si>
    <t>ПРОЈЕКАТ  - Израда пројектне документације и реконструкција крова и фасаде на објекту МЗ Нови Сланкамен</t>
  </si>
  <si>
    <t>ПРОЈЕКАТ - ЈКП "Водовод и канализација" Повезани цевовод Инђија - Бешка - Фаза I (од фабрике Грундфос до шахта Ш6 код ЦС Бешка -Југ)</t>
  </si>
  <si>
    <t>ПРОЈЕКАТ - Изградња водовода дуж саобраћајнице С1 у радној зони Локација 15 КО Инђија у дужини 600 м</t>
  </si>
  <si>
    <t>ПРОЈЕКАТ- Извођење радова на продужетку водоводне мреже у улици Змај Јовина у ИНђији</t>
  </si>
  <si>
    <t>ПРОЈЕКАТ - Извођење радова на продужетку водоводне мреже у улици Мике Антића у Бешки</t>
  </si>
  <si>
    <t>ПРОЈЕКАТ  - ЧИПОВАЊЕ И СТЕРИЛИЗАЦИЈА ПАСА И МАЧАКА</t>
  </si>
  <si>
    <t>ПРОЈЕКАТ  - НАБАВКА ПОСУДА ЗА САКУПЉАЊЕ КОМУНАЛНОГ ОТПАДА</t>
  </si>
  <si>
    <t>ПРОЈЕКАТ - Постројење за припрему воде</t>
  </si>
  <si>
    <t>ПРОЈЕКАТ - Израда пројектне документације и извођење радова на уређењу објекта месне заједнице и полиције у Бешки</t>
  </si>
  <si>
    <t>ПРОЈЕКАТ -  Израда техничке документације на  уређењу просторија месне заједнице Стари Сланкамен</t>
  </si>
  <si>
    <t>ПРОЈЕКАТ  -  Изградња кућних прикључака  фекалне канализације Бешка</t>
  </si>
  <si>
    <t>ПРОЈЕКАТ  -  Израда техничке документације  изградње фекалне канализације (Крчедин, Марадик, Нови Карловци, Нови Сланкамен и Стари Сланкамен)</t>
  </si>
  <si>
    <t>ПРОЈЕКАТ  -  Изградња колектора фекалне канализације за потребе индустријске зоне Бешка</t>
  </si>
  <si>
    <t>ПРОЈЕКАТ  - Учешће у изградњи продужетака НН мреже у Калакачи Бешка</t>
  </si>
  <si>
    <t>ПРОЈЕКАТ  - Израда пројектне документације реконструкције градске пијаце у Инђији</t>
  </si>
  <si>
    <t>ПРОЈЕКАТ  - Реконструкција градске пијаце у Инђији</t>
  </si>
  <si>
    <t>ПРОЈЕКАТ 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t>
  </si>
  <si>
    <t>ПРОЈЕКАТ  - Стручни надзор над изградњом водоводне мреже и фекалне канализације дуж саобраћајнице С2</t>
  </si>
  <si>
    <t>ПРОЈЕКАТ  - Стручни надзор над изградњом колектора фекалне канализације за потребе индустријске зоне Бешка</t>
  </si>
  <si>
    <t>ПРОЈЕКАТ - Израда техничке документације за уређење комплекса пијаце у Бешки</t>
  </si>
  <si>
    <t>ПРОЈЕКАТ  - Израда пројектне и техничке документације и рушење станова у бр. 6, 8 и 10 у Железничкој улици у Инђији</t>
  </si>
  <si>
    <t>УКУПНО  ПРОJEKAT</t>
  </si>
  <si>
    <t>ПРОЈЕКАТ  - Успостављање истраживачког центра Милутин Миланковић у Старом Сланкамену</t>
  </si>
  <si>
    <t>ПРОЈЕКАТ - Набавка паник тастера</t>
  </si>
  <si>
    <t>Услуге по уговору - Набавка паник тастера</t>
  </si>
  <si>
    <t>ПРОЈЕКАТ- ПОКЛОНИ ЗА ИСТАКНУТЕ УЧЕНИКЕ И СПОРТИСТЕ</t>
  </si>
  <si>
    <t>ПРОЈЕКАТ - ПОКЛОНИ ЗА ВУКОВЦЕ</t>
  </si>
  <si>
    <t xml:space="preserve">УКУПНО ЗА ПРОЈЕКАТ   </t>
  </si>
  <si>
    <t>ПРОЈЕКАТ - СТИПЕНДИЈЕ ЗА СПОРТИСТЕ</t>
  </si>
  <si>
    <t>ПРОЈЕКАТ  - ПОБОЉШАЊЕ СТАНДАРДА СТУДЕНАТА</t>
  </si>
  <si>
    <t xml:space="preserve">ПРОЈЕКАТ - Бесповратно суфинансирање активности на уређењу фасада зграда </t>
  </si>
  <si>
    <t xml:space="preserve">ПРОЈЕКАТ - Израда пројектне документације, адаптација и реконструкција  "Виле Љубица" у Сутомору </t>
  </si>
  <si>
    <t>ПРОЈЕКАТ - Реконструкција зграде Месне заједнице у Старом Сланкамену</t>
  </si>
  <si>
    <t>ПРОЈЕКАТ - Модернизација рада Скупштине општине Инђија</t>
  </si>
  <si>
    <t>ПРОГРАМ 3 - ЛОКАЛНИ ЕКОНОМСКИ РАЗВОЈ</t>
  </si>
  <si>
    <t>ПРОЈЕКАТ - Израда пројектне документације за изградњу јавне расвете у радној зони Бешка локација 3</t>
  </si>
  <si>
    <t>ПРОЈЕКАТ  - Израда пројектне документације и извођење радова на реконструкцији објекта здравствене станице у Новом Сланкамену</t>
  </si>
  <si>
    <t>Распоред трошења средстава по изворима финасирања дат је у следећој табели:</t>
  </si>
  <si>
    <t xml:space="preserve"> ИЗВОР 01 - Приходи из буџета</t>
  </si>
  <si>
    <t>ИЗВОР 04 - Сопствени приходи буџетских корисника</t>
  </si>
  <si>
    <t>ИЗВОР 06 - Донације од међународних организација</t>
  </si>
  <si>
    <t>ИЗВОР 07 - Трансфери од других нивоа власти</t>
  </si>
  <si>
    <t>ИЗВОР 08 - Добровољни трансфери од физичких и правних лица</t>
  </si>
  <si>
    <t>ИЗВОР 09 - Примања од продаје нефинансијске имовине</t>
  </si>
  <si>
    <t>ИЗВОР 10 - Примања од домаћих задуживања</t>
  </si>
  <si>
    <t>ИЗВОР 16 - Родитељски динар за ваннаставне активности</t>
  </si>
  <si>
    <t>ПРОЈЕКАТ - Извођење радова на опремању индустријске зоне Бешка (пут, вода и фекална канализација)</t>
  </si>
  <si>
    <t>ПРОЈЕКАТ - Извођење радова на опремању индустријске зоне Локација 15 - друга фаза (пут, вода и фекална канализација дуж саобраћајнице С-2) - фаза изградње фекалне канализације дуж десног крака саобраћајнице С2 од шахта Ф3-19 до шахта Ф2-27</t>
  </si>
  <si>
    <t xml:space="preserve">ПРОЈЕКАТ - Изградња царинског складишта </t>
  </si>
  <si>
    <t xml:space="preserve">ПРОЈЕКАТ - Израда пројектне документације и реконструкција зграде суда  у Инђији </t>
  </si>
  <si>
    <t>ПРОЈЕКАТ - Уређење пољопривредне инфраструктуре-атарски путеви</t>
  </si>
  <si>
    <t>ПРОЈЕКАТ  - Рехабилитација коловоза улице 1. Новембра у  Љукову</t>
  </si>
  <si>
    <t>ПРОЈЕКАТ Изградња капеле у Марадику</t>
  </si>
  <si>
    <t>ПРОЈЕКАТ Изградња капеле у Чортановцима</t>
  </si>
  <si>
    <t>ПРОЈЕКАТ - Набавка булдожера за потребе ЈП Ингрин</t>
  </si>
  <si>
    <t>ПРОЈЕКАТ - Реконструкцију слободног профила у постојећој регулацији дела улице Цара Душана  у насељу Нови Сланкамен,  деоница раскрснице са улицом Вука  Караџића до раскрснице са улицом Светосавском</t>
  </si>
  <si>
    <t>ПРОЈЕКАТ - Рехабилитација улице Краља Петра првог у  Бешки</t>
  </si>
  <si>
    <t>ПРОЈЕКАТ  -  Израда пројектне документације и изградња бициклистичких и пешачких стаза дуж државног пута IIА-126 у Инђији - од Гумапласта до Оутлета</t>
  </si>
  <si>
    <t>Субвенције јавним нефинансијским предузећима и организацијама - СОЦИЈАЛНО-ЕКОНОМСКИ САВЕТ ОПШТИНЕ ИНЂИЈА</t>
  </si>
  <si>
    <t>Накнаде за социјалну заштиту из буџета - Центар за социјални рад "Дунав"</t>
  </si>
  <si>
    <t>420/А</t>
  </si>
  <si>
    <t>419/А</t>
  </si>
  <si>
    <t>409/А</t>
  </si>
  <si>
    <t>342/А</t>
  </si>
  <si>
    <t>341/А</t>
  </si>
  <si>
    <t>333/А</t>
  </si>
  <si>
    <t>316/А</t>
  </si>
  <si>
    <t>304/А</t>
  </si>
  <si>
    <t>302/А</t>
  </si>
  <si>
    <t>301/А</t>
  </si>
  <si>
    <t>263/А</t>
  </si>
  <si>
    <t>253/А</t>
  </si>
  <si>
    <t>252/А</t>
  </si>
  <si>
    <t>248/А</t>
  </si>
  <si>
    <t>247/А</t>
  </si>
  <si>
    <t>245/А</t>
  </si>
  <si>
    <t>240/А</t>
  </si>
  <si>
    <t>239/А</t>
  </si>
  <si>
    <t>236/А</t>
  </si>
  <si>
    <t>233/А</t>
  </si>
  <si>
    <t>228/А</t>
  </si>
  <si>
    <t>214/А</t>
  </si>
  <si>
    <t>211/А</t>
  </si>
  <si>
    <t>209/А</t>
  </si>
  <si>
    <t>197/А</t>
  </si>
  <si>
    <t>191/А</t>
  </si>
  <si>
    <t>186/А</t>
  </si>
  <si>
    <t>184/А</t>
  </si>
  <si>
    <t>174/А</t>
  </si>
  <si>
    <t>173/А</t>
  </si>
  <si>
    <t>139/А</t>
  </si>
  <si>
    <t>137/А</t>
  </si>
  <si>
    <t>118/А</t>
  </si>
  <si>
    <t>106/А</t>
  </si>
  <si>
    <t>104/А</t>
  </si>
  <si>
    <t>101/А</t>
  </si>
  <si>
    <t>96/А</t>
  </si>
  <si>
    <t>93/А</t>
  </si>
  <si>
    <t>84/А</t>
  </si>
  <si>
    <t>84/Б</t>
  </si>
  <si>
    <t>67/А</t>
  </si>
  <si>
    <t>71/А</t>
  </si>
  <si>
    <t>422/А</t>
  </si>
  <si>
    <t>ПРОЈЕКАТ - СОЦИЈАЛНА ИНТЕГРАЦИЈА КРОЗ ПАРАСПОРТ - PARAINSPIRED</t>
  </si>
  <si>
    <t xml:space="preserve"> Донације од међународних организација</t>
  </si>
  <si>
    <t>О РЕБАЛАНСУ БУЏЕТА ОПШТИНЕ ИНЂИЈА ЗА 2019. ГОДИНУ</t>
  </si>
  <si>
    <t xml:space="preserve">Члан 5. мења се и гласи:"Укупни приходи и примања буџета, као и расходи и издаци буџета утврђују се билансом према економској </t>
  </si>
  <si>
    <t>класификацији у следећим износима":</t>
  </si>
  <si>
    <t>Члан 3.</t>
  </si>
  <si>
    <t xml:space="preserve">Члан 6. мења се и гласи:"Приходи и примања који представљају буџетска средства утврђени су у следећим износима у Рачуну прихода и </t>
  </si>
  <si>
    <t xml:space="preserve"> примања, расхода и издатака:</t>
  </si>
  <si>
    <t>Члан 7. мења се и гласи:"Расходи и издаци ове Одлуке користиће се за следећа програме:</t>
  </si>
  <si>
    <t xml:space="preserve"> корисника у износу од 26.698.050,00 распоређују се по корисницима и наменама и то:</t>
  </si>
  <si>
    <t>424/A</t>
  </si>
  <si>
    <t>424/Б</t>
  </si>
  <si>
    <t>424/В</t>
  </si>
  <si>
    <t>140/А</t>
  </si>
  <si>
    <t>140/Б</t>
  </si>
  <si>
    <t>ПРОЈЕКАТ - Инвестициони радови на текућем одржавању зграде суда  у Инђији - молерско фарбарски, електро и подополагачки радови</t>
  </si>
  <si>
    <t xml:space="preserve">ПРОЈЕКАТ - Набавка канцеларијске опреме за зграду суда  у Инђији </t>
  </si>
  <si>
    <t>140/В</t>
  </si>
  <si>
    <t>ПРОЈЕКАТ  - "ПОДСТИЦАЈИ ЗАПОШЉАВАЊА НЕЗАПОСЛЕНИХ ЛИЦА"</t>
  </si>
  <si>
    <t>215/А</t>
  </si>
  <si>
    <t>ПРОЈЕКАТ - Израда пројектне документације и изградња пешачке стазе у улици Цара Душана у Новом Сланкамену - лева страна из правца Инђије</t>
  </si>
  <si>
    <t>238/А</t>
  </si>
  <si>
    <t>84/А1</t>
  </si>
  <si>
    <t>84/Б1</t>
  </si>
  <si>
    <t>124/А</t>
  </si>
  <si>
    <t>183/А</t>
  </si>
  <si>
    <t>ПРОЈЕКАТ  - АКТИВНОСТ УКЛАЊАЊА ДИВЉИХ ДЕПОНИЈА С ПОЉОПРИВРЕДНОГ ЗЕМЉИШТА</t>
  </si>
  <si>
    <t>237/А</t>
  </si>
  <si>
    <t>ПРОЈЕКАТ - ЈКП "Водовод и канализација" Изградња сабирног цевовода, батерија бунара Б-23, Б-24, Б-25 и полагање напојног вода за све три батерије на катастарским парцелама број 7510/16, 7510/20,7510/24 и 7710/14 К.О . Инђија-Фаза IV/сабирни цевовод, напојни вод и бушење и опремање бунара Б/25д и Б/25п/</t>
  </si>
  <si>
    <t>ПРОЈЕКАТ - Израда техничке документацијесистема за наводњавање у Општини Инђија (6000 ха) подсистеми (Нови Сланкамен 2300 ха и  Стари Сланкамен 3700 ха)</t>
  </si>
  <si>
    <t>179/А</t>
  </si>
  <si>
    <t>ПРОЈЕКАТ - Припремни радови на привођењу земљишта намени, Индустријска зона, локација 3 у Бешки (култивисање локације и уклањање парлога, геодетско обележавање и увођење у посед)</t>
  </si>
  <si>
    <t>396/А</t>
  </si>
  <si>
    <t>Специјализоване услуге - Лига шампиона - Најјачи човек Србије 2019</t>
  </si>
  <si>
    <t>405/А</t>
  </si>
  <si>
    <t xml:space="preserve">ПРОЈЕКАТ  - Прибављање монтажно-демонтажног спортског објекта </t>
  </si>
  <si>
    <t>422/А1</t>
  </si>
  <si>
    <t>ПРОЈЕКАТ  - Спортски терен у Бешки</t>
  </si>
  <si>
    <t>ПРОЈЕКАТ  - ИНВЕСТИЦИЈЕ У СПОРТУ -Израда пројектне документације, изградња и опремање објекта Академије спорта у Лејама</t>
  </si>
  <si>
    <t>ПРОЈЕКАТ - ИЗРАДА СКУЛПТУРЕ НА ТРГУ СЛОБОДЕ</t>
  </si>
  <si>
    <t>388/А</t>
  </si>
  <si>
    <t>Зграде и грађевински објекти - Израда пројектне документације за изградњу I фазе кадровских станова</t>
  </si>
  <si>
    <t>80/А</t>
  </si>
  <si>
    <t>ПРОЈЕКАТ - Уређење путева у викенд насељима цементном стабилизацијом</t>
  </si>
  <si>
    <t>241/А</t>
  </si>
  <si>
    <t>241/Б</t>
  </si>
  <si>
    <t>ПРОЈЕКАТ  - Центар за заштиту потрошача - образовни потрошач Инђија - суфинасирање пројеката</t>
  </si>
  <si>
    <t>125/А</t>
  </si>
  <si>
    <t>125/А1</t>
  </si>
  <si>
    <t>Дотације невладиним организацијама - "Основе енергетске ефикасности"</t>
  </si>
  <si>
    <t>Дотације невладиним организацијама - "Будућност коју сами стварамо"</t>
  </si>
  <si>
    <t>93/А1</t>
  </si>
  <si>
    <t>461/A</t>
  </si>
  <si>
    <t>ПРОЈЕКАТ - Изградњa јавне расвете у парку Данице Јовановић у  Бешки</t>
  </si>
  <si>
    <t>385/А</t>
  </si>
  <si>
    <t>ПРОЈЕКАТ - СУФИНАНСИРАЊЕ ПРОЈЕКТА ЗА СНИМАЊЕ ДУГОМЕТРАЖНОГ ФИЛМА "СВЕТОЗАРЈЕ СРПСКО"</t>
  </si>
  <si>
    <t>УКУПНО  ПРОГРАМСКА АКТИВНОСТ 1101-0004</t>
  </si>
  <si>
    <t>212/A</t>
  </si>
  <si>
    <t>191/А1</t>
  </si>
  <si>
    <t>ПРОЈЕКАТ - Набавка ватрогасног возила</t>
  </si>
  <si>
    <t>Члан 8. мења се и гласи:"Средства буџета у износу од 5.895.500.000,00 динара и средства од прихода из додатних активности  индиректних</t>
  </si>
  <si>
    <t xml:space="preserve">На основу чл. 43. став 1.  47.  став 3. и 63. став 1. Закона о буџетском систему ("Службени гласник  Републике Србије" 54/09, </t>
  </si>
  <si>
    <t xml:space="preserve">73/10, 101/10,101/11, 93/12, 62/13, 63/13-исправка, 108/13, 142/14, 68/15-др.закон, 103/15, 99/16, 113/17, 95/18 и 31/19) и члана 32. став 1. тачка 2. </t>
  </si>
  <si>
    <t xml:space="preserve">Закона о локалној самоуправи  ("Службени гласник Републике Србије" 129/07, 83/14 - др. закон, 101/16 и 47/18) и члана 40. став 1. тачка 2 Статута Општине </t>
  </si>
  <si>
    <t>Инђија  ("Службени лист општине Инђија", бр.  5/19)</t>
  </si>
  <si>
    <t xml:space="preserve">У Одлуци о буџету Општине Инђија за 2019. годину ("Сл. лист општине Инђија", бр. 28/18 и 5/19), у члану 2. износ: "5.876.969.000,00" замењује </t>
  </si>
  <si>
    <t>се износом: "5.922.198.050,00", износ: "5.850.270.950,00" замењује се износом: "5.895.500.000,00".</t>
  </si>
  <si>
    <t>Ову одлуку доставити Министарству финансија Републике Србије.</t>
  </si>
  <si>
    <t>ПРОЈЕКАТ  - Инвестициони радови на текућем одржавању, на објекту предшколске установе у Бешки</t>
  </si>
  <si>
    <t>Ова одлука ступа на снагу наредног дана од дана објављивања у "Службеном листу општине Инђија".</t>
  </si>
  <si>
    <t xml:space="preserve">    Председник  </t>
  </si>
  <si>
    <t>400-27/2019-I</t>
  </si>
  <si>
    <t xml:space="preserve">  14. јуна 2019.године</t>
  </si>
  <si>
    <t>Скупштина општине Инђија на седници одржаној 14.јуна 2019. године донела 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</si>
</sst>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D_i_n_._-;\-* #,##0.00\ _D_i_n_._-;_-* &quot;-&quot;??\ _D_i_n_._-;_-@_-"/>
  </numFmts>
  <fonts count="6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9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Arial"/>
      <family val="2"/>
    </font>
    <font>
      <b/>
      <i/>
      <sz val="11"/>
      <name val="Arial"/>
      <family val="2"/>
      <charset val="238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4"/>
      <color rgb="FFFF0000"/>
      <name val="Arial"/>
      <family val="2"/>
    </font>
    <font>
      <b/>
      <sz val="9"/>
      <color rgb="FFFF000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4" borderId="0" applyNumberFormat="0" applyBorder="0" applyAlignment="0" applyProtection="0"/>
    <xf numFmtId="0" fontId="13" fillId="5" borderId="0" applyNumberFormat="0" applyBorder="0" applyAlignment="0" applyProtection="0"/>
    <xf numFmtId="164" fontId="16" fillId="0" borderId="0" applyFont="0" applyFill="0" applyBorder="0" applyAlignment="0" applyProtection="0"/>
    <xf numFmtId="0" fontId="17" fillId="0" borderId="0"/>
  </cellStyleXfs>
  <cellXfs count="114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2" fillId="0" borderId="4" xfId="0" applyFont="1" applyFill="1" applyBorder="1" applyAlignment="1" applyProtection="1">
      <alignment horizontal="left" vertical="center" wrapText="1"/>
    </xf>
    <xf numFmtId="3" fontId="12" fillId="0" borderId="4" xfId="4" applyNumberFormat="1" applyFont="1" applyBorder="1" applyAlignment="1">
      <alignment horizontal="right" vertical="center"/>
    </xf>
    <xf numFmtId="3" fontId="12" fillId="0" borderId="4" xfId="4" applyNumberFormat="1" applyFont="1" applyFill="1" applyBorder="1" applyAlignment="1" applyProtection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 wrapText="1"/>
    </xf>
    <xf numFmtId="3" fontId="12" fillId="0" borderId="4" xfId="4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12" fillId="0" borderId="4" xfId="3" applyFont="1" applyFill="1" applyBorder="1" applyAlignment="1">
      <alignment horizontal="left" vertical="center" wrapText="1"/>
    </xf>
    <xf numFmtId="0" fontId="12" fillId="0" borderId="4" xfId="0" applyFont="1" applyFill="1" applyBorder="1" applyAlignment="1" applyProtection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" fontId="1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9" fontId="6" fillId="0" borderId="2" xfId="5" applyNumberFormat="1" applyFont="1" applyBorder="1" applyAlignment="1">
      <alignment horizontal="center" vertical="center" wrapText="1"/>
    </xf>
    <xf numFmtId="0" fontId="11" fillId="6" borderId="4" xfId="5" applyFont="1" applyFill="1" applyBorder="1" applyAlignment="1">
      <alignment horizontal="left" vertical="center" wrapText="1"/>
    </xf>
    <xf numFmtId="49" fontId="11" fillId="8" borderId="4" xfId="0" applyNumberFormat="1" applyFont="1" applyFill="1" applyBorder="1" applyAlignment="1" applyProtection="1">
      <alignment horizontal="left" vertical="center"/>
    </xf>
    <xf numFmtId="0" fontId="11" fillId="8" borderId="4" xfId="0" applyFont="1" applyFill="1" applyBorder="1" applyAlignment="1" applyProtection="1">
      <alignment horizontal="left" vertical="center" wrapText="1"/>
    </xf>
    <xf numFmtId="3" fontId="11" fillId="8" borderId="4" xfId="4" applyNumberFormat="1" applyFont="1" applyFill="1" applyBorder="1" applyAlignment="1">
      <alignment horizontal="right" vertical="center"/>
    </xf>
    <xf numFmtId="0" fontId="11" fillId="8" borderId="4" xfId="0" applyFont="1" applyFill="1" applyBorder="1" applyAlignment="1">
      <alignment horizontal="left" vertical="center" wrapText="1"/>
    </xf>
    <xf numFmtId="0" fontId="11" fillId="8" borderId="0" xfId="0" applyFont="1" applyFill="1" applyAlignment="1">
      <alignment vertical="center" wrapText="1"/>
    </xf>
    <xf numFmtId="3" fontId="11" fillId="8" borderId="4" xfId="4" applyNumberFormat="1" applyFont="1" applyFill="1" applyBorder="1" applyAlignment="1" applyProtection="1">
      <alignment horizontal="right" vertical="center"/>
    </xf>
    <xf numFmtId="0" fontId="11" fillId="8" borderId="4" xfId="0" applyFont="1" applyFill="1" applyBorder="1" applyAlignment="1">
      <alignment horizontal="left" vertical="center"/>
    </xf>
    <xf numFmtId="3" fontId="11" fillId="6" borderId="4" xfId="4" applyNumberFormat="1" applyFont="1" applyFill="1" applyBorder="1" applyAlignment="1">
      <alignment horizontal="right"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3" fillId="10" borderId="4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" fontId="5" fillId="0" borderId="4" xfId="2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4" fontId="2" fillId="0" borderId="4" xfId="2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49" fontId="6" fillId="0" borderId="0" xfId="5" applyNumberFormat="1" applyFont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center"/>
    </xf>
    <xf numFmtId="4" fontId="1" fillId="0" borderId="4" xfId="2" applyNumberFormat="1" applyFont="1" applyFill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19" fillId="0" borderId="0" xfId="0" applyFont="1"/>
    <xf numFmtId="0" fontId="18" fillId="0" borderId="0" xfId="0" applyFont="1"/>
    <xf numFmtId="49" fontId="12" fillId="0" borderId="4" xfId="0" applyNumberFormat="1" applyFont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7" xfId="1" applyFont="1" applyFill="1" applyBorder="1" applyAlignment="1">
      <alignment horizontal="left" vertical="center" wrapText="1"/>
    </xf>
    <xf numFmtId="4" fontId="12" fillId="3" borderId="4" xfId="1" applyNumberFormat="1" applyFont="1" applyFill="1" applyBorder="1" applyAlignment="1">
      <alignment vertical="center"/>
    </xf>
    <xf numFmtId="3" fontId="12" fillId="3" borderId="4" xfId="4" applyNumberFormat="1" applyFont="1" applyFill="1" applyBorder="1" applyAlignment="1" applyProtection="1">
      <alignment horizontal="right" vertical="center"/>
    </xf>
    <xf numFmtId="0" fontId="12" fillId="3" borderId="7" xfId="3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4" fontId="12" fillId="0" borderId="0" xfId="4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/>
    <xf numFmtId="0" fontId="23" fillId="0" borderId="0" xfId="0" applyFont="1"/>
    <xf numFmtId="3" fontId="12" fillId="0" borderId="0" xfId="0" applyNumberFormat="1" applyFont="1"/>
    <xf numFmtId="49" fontId="24" fillId="0" borderId="4" xfId="5" applyNumberFormat="1" applyFont="1" applyFill="1" applyBorder="1" applyAlignment="1">
      <alignment horizontal="center" vertical="center" wrapText="1"/>
    </xf>
    <xf numFmtId="0" fontId="24" fillId="0" borderId="4" xfId="4" applyNumberFormat="1" applyFont="1" applyFill="1" applyBorder="1" applyAlignment="1">
      <alignment horizontal="center" vertical="center" wrapText="1"/>
    </xf>
    <xf numFmtId="0" fontId="24" fillId="0" borderId="4" xfId="5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3" fontId="12" fillId="0" borderId="4" xfId="0" applyNumberFormat="1" applyFont="1" applyBorder="1" applyAlignment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left" vertical="center" wrapText="1"/>
    </xf>
    <xf numFmtId="4" fontId="12" fillId="0" borderId="4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left" vertical="center" wrapText="1"/>
    </xf>
    <xf numFmtId="0" fontId="12" fillId="8" borderId="4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4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4" fontId="1" fillId="0" borderId="14" xfId="0" applyNumberFormat="1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4" fontId="1" fillId="0" borderId="15" xfId="0" applyNumberFormat="1" applyFont="1" applyFill="1" applyBorder="1" applyAlignment="1">
      <alignment vertical="center"/>
    </xf>
    <xf numFmtId="0" fontId="1" fillId="1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4" fontId="1" fillId="0" borderId="3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49" fontId="26" fillId="9" borderId="1" xfId="0" applyNumberFormat="1" applyFont="1" applyFill="1" applyBorder="1" applyAlignment="1">
      <alignment horizontal="center" vertical="center" textRotation="90" wrapText="1"/>
    </xf>
    <xf numFmtId="49" fontId="26" fillId="9" borderId="4" xfId="0" applyNumberFormat="1" applyFont="1" applyFill="1" applyBorder="1" applyAlignment="1">
      <alignment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1" fillId="0" borderId="0" xfId="0" applyFont="1"/>
    <xf numFmtId="0" fontId="7" fillId="0" borderId="0" xfId="0" applyFont="1"/>
    <xf numFmtId="0" fontId="12" fillId="0" borderId="0" xfId="0" applyFont="1" applyFill="1" applyBorder="1" applyAlignment="1">
      <alignment horizontal="center"/>
    </xf>
    <xf numFmtId="0" fontId="5" fillId="0" borderId="0" xfId="0" applyFont="1"/>
    <xf numFmtId="0" fontId="28" fillId="0" borderId="0" xfId="0" applyFont="1" applyFill="1" applyBorder="1" applyAlignment="1">
      <alignment horizontal="left"/>
    </xf>
    <xf numFmtId="4" fontId="12" fillId="0" borderId="0" xfId="0" applyNumberFormat="1" applyFont="1" applyFill="1" applyBorder="1"/>
    <xf numFmtId="4" fontId="5" fillId="0" borderId="0" xfId="0" applyNumberFormat="1" applyFont="1" applyFill="1" applyBorder="1"/>
    <xf numFmtId="4" fontId="21" fillId="0" borderId="0" xfId="0" applyNumberFormat="1" applyFont="1"/>
    <xf numFmtId="0" fontId="6" fillId="0" borderId="0" xfId="0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4" fillId="0" borderId="0" xfId="0" applyFont="1"/>
    <xf numFmtId="49" fontId="30" fillId="0" borderId="13" xfId="0" applyNumberFormat="1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26" fillId="10" borderId="1" xfId="0" applyFont="1" applyFill="1" applyBorder="1" applyAlignment="1">
      <alignment horizontal="left" vertical="center" wrapText="1"/>
    </xf>
    <xf numFmtId="0" fontId="25" fillId="10" borderId="6" xfId="0" applyFont="1" applyFill="1" applyBorder="1" applyAlignment="1">
      <alignment horizontal="left" vertical="center" wrapText="1"/>
    </xf>
    <xf numFmtId="0" fontId="28" fillId="3" borderId="0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4" fillId="0" borderId="0" xfId="0" applyFont="1"/>
    <xf numFmtId="0" fontId="1" fillId="0" borderId="0" xfId="0" applyFont="1"/>
    <xf numFmtId="4" fontId="5" fillId="0" borderId="0" xfId="0" applyNumberFormat="1" applyFont="1"/>
    <xf numFmtId="0" fontId="4" fillId="0" borderId="0" xfId="0" applyFont="1"/>
    <xf numFmtId="0" fontId="1" fillId="0" borderId="0" xfId="0" applyFont="1" applyFill="1"/>
    <xf numFmtId="0" fontId="32" fillId="0" borderId="0" xfId="0" applyFont="1"/>
    <xf numFmtId="0" fontId="32" fillId="0" borderId="0" xfId="0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7" fillId="0" borderId="0" xfId="0" applyFont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8" fillId="0" borderId="0" xfId="0" applyFont="1"/>
    <xf numFmtId="4" fontId="5" fillId="3" borderId="0" xfId="0" applyNumberFormat="1" applyFont="1" applyFill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4" fontId="1" fillId="0" borderId="0" xfId="2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7" fillId="3" borderId="0" xfId="0" applyFont="1" applyFill="1"/>
    <xf numFmtId="0" fontId="7" fillId="0" borderId="0" xfId="0" applyFont="1" applyFill="1"/>
    <xf numFmtId="4" fontId="8" fillId="0" borderId="0" xfId="0" applyNumberFormat="1" applyFont="1" applyFill="1" applyBorder="1" applyAlignment="1">
      <alignment vertical="center"/>
    </xf>
    <xf numFmtId="0" fontId="1" fillId="0" borderId="4" xfId="1" applyFont="1" applyFill="1" applyBorder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" fontId="8" fillId="0" borderId="4" xfId="0" applyNumberFormat="1" applyFont="1" applyFill="1" applyBorder="1" applyAlignment="1">
      <alignment vertical="center"/>
    </xf>
    <xf numFmtId="0" fontId="1" fillId="3" borderId="0" xfId="0" applyFont="1" applyFill="1" applyBorder="1"/>
    <xf numFmtId="4" fontId="1" fillId="0" borderId="0" xfId="0" applyNumberFormat="1" applyFont="1" applyFill="1"/>
    <xf numFmtId="0" fontId="12" fillId="3" borderId="5" xfId="0" applyFont="1" applyFill="1" applyBorder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2" fillId="0" borderId="0" xfId="0" applyNumberFormat="1" applyFont="1" applyFill="1"/>
    <xf numFmtId="0" fontId="2" fillId="0" borderId="0" xfId="0" applyFont="1" applyFill="1"/>
    <xf numFmtId="0" fontId="35" fillId="0" borderId="0" xfId="0" applyFont="1" applyFill="1"/>
    <xf numFmtId="0" fontId="37" fillId="0" borderId="0" xfId="0" applyFont="1"/>
    <xf numFmtId="0" fontId="2" fillId="9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" fontId="1" fillId="0" borderId="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4" fontId="1" fillId="0" borderId="4" xfId="1" applyNumberFormat="1" applyFont="1" applyFill="1" applyBorder="1" applyAlignment="1">
      <alignment vertical="center"/>
    </xf>
    <xf numFmtId="0" fontId="3" fillId="10" borderId="1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4" fontId="1" fillId="0" borderId="14" xfId="2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3" fillId="1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4" fontId="5" fillId="0" borderId="4" xfId="1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4" xfId="2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14" fillId="0" borderId="3" xfId="1" applyNumberFormat="1" applyFont="1" applyFill="1" applyBorder="1" applyAlignment="1">
      <alignment vertical="center"/>
    </xf>
    <xf numFmtId="4" fontId="14" fillId="0" borderId="8" xfId="1" applyNumberFormat="1" applyFont="1" applyFill="1" applyBorder="1" applyAlignment="1">
      <alignment vertical="center"/>
    </xf>
    <xf numFmtId="0" fontId="14" fillId="0" borderId="4" xfId="1" applyFont="1" applyFill="1" applyBorder="1" applyAlignment="1">
      <alignment horizontal="center" vertical="center"/>
    </xf>
    <xf numFmtId="4" fontId="8" fillId="0" borderId="4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4" fontId="8" fillId="0" borderId="0" xfId="1" applyNumberFormat="1" applyFont="1" applyFill="1" applyBorder="1" applyAlignment="1">
      <alignment vertical="center"/>
    </xf>
    <xf numFmtId="4" fontId="5" fillId="0" borderId="0" xfId="1" applyNumberFormat="1" applyFont="1" applyFill="1" applyBorder="1" applyAlignment="1">
      <alignment vertical="center"/>
    </xf>
    <xf numFmtId="4" fontId="5" fillId="0" borderId="1" xfId="1" applyNumberFormat="1" applyFont="1" applyFill="1" applyBorder="1" applyAlignment="1">
      <alignment vertical="center"/>
    </xf>
    <xf numFmtId="4" fontId="5" fillId="0" borderId="6" xfId="1" applyNumberFormat="1" applyFont="1" applyFill="1" applyBorder="1" applyAlignment="1">
      <alignment vertical="center"/>
    </xf>
    <xf numFmtId="4" fontId="5" fillId="0" borderId="1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vertical="center"/>
    </xf>
    <xf numFmtId="4" fontId="5" fillId="0" borderId="12" xfId="0" applyNumberFormat="1" applyFont="1" applyFill="1" applyBorder="1" applyAlignment="1">
      <alignment vertical="center"/>
    </xf>
    <xf numFmtId="4" fontId="2" fillId="0" borderId="4" xfId="1" applyNumberFormat="1" applyFont="1" applyFill="1" applyBorder="1" applyAlignment="1">
      <alignment vertical="center"/>
    </xf>
    <xf numFmtId="4" fontId="2" fillId="0" borderId="13" xfId="1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9" fontId="1" fillId="0" borderId="4" xfId="2" applyNumberFormat="1" applyFont="1" applyFill="1" applyBorder="1" applyAlignment="1">
      <alignment horizontal="center" vertical="center"/>
    </xf>
    <xf numFmtId="4" fontId="8" fillId="0" borderId="4" xfId="2" applyNumberFormat="1" applyFont="1" applyFill="1" applyBorder="1" applyAlignment="1">
      <alignment vertical="center"/>
    </xf>
    <xf numFmtId="4" fontId="2" fillId="0" borderId="3" xfId="2" applyNumberFormat="1" applyFont="1" applyFill="1" applyBorder="1" applyAlignment="1">
      <alignment vertical="center"/>
    </xf>
    <xf numFmtId="4" fontId="2" fillId="0" borderId="8" xfId="0" applyNumberFormat="1" applyFont="1" applyFill="1" applyBorder="1" applyAlignment="1">
      <alignment vertical="center"/>
    </xf>
    <xf numFmtId="4" fontId="2" fillId="0" borderId="1" xfId="2" applyNumberFormat="1" applyFont="1" applyFill="1" applyBorder="1" applyAlignment="1">
      <alignment vertical="center"/>
    </xf>
    <xf numFmtId="4" fontId="5" fillId="0" borderId="0" xfId="2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4" fontId="8" fillId="0" borderId="0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10" borderId="0" xfId="0" applyFont="1" applyFill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7" borderId="1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1" fillId="10" borderId="1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10" borderId="3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11" fillId="10" borderId="6" xfId="0" applyFont="1" applyFill="1" applyBorder="1" applyAlignment="1">
      <alignment horizontal="left" vertical="center"/>
    </xf>
    <xf numFmtId="0" fontId="3" fillId="10" borderId="6" xfId="2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10" borderId="10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11" fillId="0" borderId="6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10" borderId="2" xfId="0" applyFont="1" applyFill="1" applyBorder="1" applyAlignment="1">
      <alignment horizontal="left" vertical="center"/>
    </xf>
    <xf numFmtId="0" fontId="7" fillId="0" borderId="4" xfId="0" applyFont="1" applyBorder="1"/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5" fillId="3" borderId="4" xfId="0" applyFont="1" applyFill="1" applyBorder="1"/>
    <xf numFmtId="0" fontId="35" fillId="0" borderId="4" xfId="0" applyFont="1" applyBorder="1"/>
    <xf numFmtId="49" fontId="8" fillId="0" borderId="4" xfId="0" applyNumberFormat="1" applyFont="1" applyBorder="1" applyAlignment="1">
      <alignment horizontal="center" vertical="center"/>
    </xf>
    <xf numFmtId="0" fontId="36" fillId="0" borderId="4" xfId="0" applyFont="1" applyBorder="1"/>
    <xf numFmtId="49" fontId="5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Fill="1" applyBorder="1"/>
    <xf numFmtId="0" fontId="4" fillId="0" borderId="4" xfId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0" fontId="35" fillId="0" borderId="4" xfId="0" applyFont="1" applyFill="1" applyBorder="1"/>
    <xf numFmtId="4" fontId="2" fillId="0" borderId="1" xfId="0" applyNumberFormat="1" applyFont="1" applyFill="1" applyBorder="1" applyAlignment="1">
      <alignment vertical="center"/>
    </xf>
    <xf numFmtId="4" fontId="8" fillId="0" borderId="12" xfId="0" applyNumberFormat="1" applyFont="1" applyFill="1" applyBorder="1" applyAlignment="1">
      <alignment vertical="center"/>
    </xf>
    <xf numFmtId="4" fontId="2" fillId="0" borderId="12" xfId="2" applyNumberFormat="1" applyFont="1" applyFill="1" applyBorder="1" applyAlignment="1">
      <alignment vertical="center"/>
    </xf>
    <xf numFmtId="0" fontId="1" fillId="13" borderId="4" xfId="0" applyFont="1" applyFill="1" applyBorder="1" applyAlignment="1">
      <alignment horizontal="center" vertical="center"/>
    </xf>
    <xf numFmtId="49" fontId="1" fillId="13" borderId="4" xfId="0" applyNumberFormat="1" applyFont="1" applyFill="1" applyBorder="1" applyAlignment="1">
      <alignment horizontal="center" vertical="center"/>
    </xf>
    <xf numFmtId="4" fontId="2" fillId="13" borderId="8" xfId="0" applyNumberFormat="1" applyFont="1" applyFill="1" applyBorder="1" applyAlignment="1">
      <alignment vertical="center"/>
    </xf>
    <xf numFmtId="0" fontId="5" fillId="14" borderId="4" xfId="0" applyFont="1" applyFill="1" applyBorder="1" applyAlignment="1">
      <alignment horizontal="center" vertical="center"/>
    </xf>
    <xf numFmtId="0" fontId="11" fillId="14" borderId="6" xfId="0" applyFont="1" applyFill="1" applyBorder="1" applyAlignment="1">
      <alignment vertical="center"/>
    </xf>
    <xf numFmtId="0" fontId="1" fillId="14" borderId="4" xfId="0" applyFont="1" applyFill="1" applyBorder="1" applyAlignment="1">
      <alignment horizontal="center" vertical="center"/>
    </xf>
    <xf numFmtId="49" fontId="1" fillId="14" borderId="4" xfId="0" applyNumberFormat="1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14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49" fontId="2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0" fillId="0" borderId="1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horizontal="left" vertical="center"/>
    </xf>
    <xf numFmtId="4" fontId="2" fillId="0" borderId="13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" fontId="32" fillId="0" borderId="4" xfId="0" applyNumberFormat="1" applyFont="1" applyFill="1" applyBorder="1" applyAlignment="1">
      <alignment horizontal="right" vertical="center"/>
    </xf>
    <xf numFmtId="4" fontId="27" fillId="0" borderId="6" xfId="0" applyNumberFormat="1" applyFont="1" applyFill="1" applyBorder="1" applyAlignment="1">
      <alignment vertical="center"/>
    </xf>
    <xf numFmtId="4" fontId="27" fillId="0" borderId="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5" fillId="0" borderId="4" xfId="5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4" fontId="1" fillId="0" borderId="4" xfId="5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>
      <alignment vertical="center"/>
    </xf>
    <xf numFmtId="4" fontId="14" fillId="0" borderId="3" xfId="2" applyNumberFormat="1" applyFont="1" applyFill="1" applyBorder="1" applyAlignment="1">
      <alignment vertical="center"/>
    </xf>
    <xf numFmtId="4" fontId="14" fillId="0" borderId="8" xfId="2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vertical="center"/>
    </xf>
    <xf numFmtId="4" fontId="1" fillId="0" borderId="1" xfId="2" applyNumberFormat="1" applyFont="1" applyFill="1" applyBorder="1" applyAlignment="1">
      <alignment vertical="center"/>
    </xf>
    <xf numFmtId="4" fontId="1" fillId="0" borderId="3" xfId="2" applyNumberFormat="1" applyFont="1" applyFill="1" applyBorder="1" applyAlignment="1">
      <alignment vertical="center"/>
    </xf>
    <xf numFmtId="0" fontId="1" fillId="0" borderId="4" xfId="0" applyFont="1" applyFill="1" applyBorder="1"/>
    <xf numFmtId="4" fontId="2" fillId="0" borderId="4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4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" fillId="14" borderId="4" xfId="0" applyFont="1" applyFill="1" applyBorder="1" applyAlignment="1">
      <alignment horizontal="center" vertical="center"/>
    </xf>
    <xf numFmtId="0" fontId="3" fillId="14" borderId="1" xfId="3" applyFont="1" applyFill="1" applyBorder="1" applyAlignment="1">
      <alignment horizontal="left" vertical="center"/>
    </xf>
    <xf numFmtId="49" fontId="2" fillId="14" borderId="4" xfId="0" applyNumberFormat="1" applyFont="1" applyFill="1" applyBorder="1" applyAlignment="1">
      <alignment horizontal="center" vertical="center"/>
    </xf>
    <xf numFmtId="0" fontId="3" fillId="14" borderId="3" xfId="3" applyFont="1" applyFill="1" applyBorder="1" applyAlignment="1">
      <alignment horizontal="left" vertical="center"/>
    </xf>
    <xf numFmtId="0" fontId="3" fillId="14" borderId="3" xfId="3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left" vertical="center"/>
    </xf>
    <xf numFmtId="4" fontId="1" fillId="13" borderId="3" xfId="0" applyNumberFormat="1" applyFont="1" applyFill="1" applyBorder="1" applyAlignment="1">
      <alignment vertical="center"/>
    </xf>
    <xf numFmtId="0" fontId="3" fillId="13" borderId="2" xfId="0" applyFont="1" applyFill="1" applyBorder="1" applyAlignment="1">
      <alignment horizontal="left" vertical="center"/>
    </xf>
    <xf numFmtId="4" fontId="1" fillId="13" borderId="2" xfId="0" applyNumberFormat="1" applyFont="1" applyFill="1" applyBorder="1" applyAlignment="1">
      <alignment vertical="center"/>
    </xf>
    <xf numFmtId="4" fontId="2" fillId="13" borderId="10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horizontal="left" vertical="center" wrapText="1"/>
    </xf>
    <xf numFmtId="4" fontId="1" fillId="13" borderId="10" xfId="0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vertical="center"/>
    </xf>
    <xf numFmtId="0" fontId="3" fillId="14" borderId="3" xfId="0" applyFont="1" applyFill="1" applyBorder="1" applyAlignment="1">
      <alignment vertical="center" wrapText="1"/>
    </xf>
    <xf numFmtId="0" fontId="28" fillId="14" borderId="4" xfId="0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left" vertical="center" wrapText="1"/>
    </xf>
    <xf numFmtId="0" fontId="7" fillId="14" borderId="4" xfId="0" applyFont="1" applyFill="1" applyBorder="1" applyAlignment="1">
      <alignment horizontal="center" vertical="center"/>
    </xf>
    <xf numFmtId="4" fontId="8" fillId="13" borderId="3" xfId="2" applyNumberFormat="1" applyFont="1" applyFill="1" applyBorder="1" applyAlignment="1">
      <alignment vertical="center"/>
    </xf>
    <xf numFmtId="4" fontId="8" fillId="13" borderId="3" xfId="1" applyNumberFormat="1" applyFont="1" applyFill="1" applyBorder="1" applyAlignment="1">
      <alignment vertical="center"/>
    </xf>
    <xf numFmtId="4" fontId="5" fillId="13" borderId="8" xfId="0" applyNumberFormat="1" applyFont="1" applyFill="1" applyBorder="1" applyAlignment="1">
      <alignment vertical="center"/>
    </xf>
    <xf numFmtId="4" fontId="5" fillId="13" borderId="2" xfId="2" applyNumberFormat="1" applyFont="1" applyFill="1" applyBorder="1" applyAlignment="1">
      <alignment vertical="center"/>
    </xf>
    <xf numFmtId="4" fontId="5" fillId="13" borderId="2" xfId="1" applyNumberFormat="1" applyFont="1" applyFill="1" applyBorder="1" applyAlignment="1">
      <alignment vertical="center"/>
    </xf>
    <xf numFmtId="4" fontId="5" fillId="13" borderId="10" xfId="0" applyNumberFormat="1" applyFont="1" applyFill="1" applyBorder="1" applyAlignment="1">
      <alignment vertical="center"/>
    </xf>
    <xf numFmtId="0" fontId="7" fillId="14" borderId="4" xfId="0" applyFont="1" applyFill="1" applyBorder="1"/>
    <xf numFmtId="4" fontId="1" fillId="13" borderId="8" xfId="0" applyNumberFormat="1" applyFont="1" applyFill="1" applyBorder="1" applyAlignment="1">
      <alignment vertical="center"/>
    </xf>
    <xf numFmtId="0" fontId="3" fillId="13" borderId="7" xfId="0" applyFont="1" applyFill="1" applyBorder="1" applyAlignment="1">
      <alignment horizontal="left" vertical="center"/>
    </xf>
    <xf numFmtId="0" fontId="3" fillId="13" borderId="9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/>
    </xf>
    <xf numFmtId="0" fontId="32" fillId="0" borderId="1" xfId="0" applyFont="1" applyFill="1" applyBorder="1" applyAlignment="1">
      <alignment vertical="center"/>
    </xf>
    <xf numFmtId="0" fontId="3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2" fillId="9" borderId="1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9" fillId="1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 vertical="center"/>
    </xf>
    <xf numFmtId="0" fontId="36" fillId="0" borderId="0" xfId="0" applyFont="1"/>
    <xf numFmtId="0" fontId="37" fillId="0" borderId="12" xfId="3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8" fillId="14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37" fillId="0" borderId="4" xfId="1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13" borderId="4" xfId="0" applyNumberFormat="1" applyFont="1" applyFill="1" applyBorder="1" applyAlignment="1">
      <alignment horizontal="center" vertical="center"/>
    </xf>
    <xf numFmtId="0" fontId="39" fillId="0" borderId="4" xfId="0" applyFont="1" applyBorder="1" applyAlignment="1">
      <alignment vertical="center"/>
    </xf>
    <xf numFmtId="49" fontId="8" fillId="14" borderId="4" xfId="0" applyNumberFormat="1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0" fontId="36" fillId="14" borderId="4" xfId="0" applyFont="1" applyFill="1" applyBorder="1" applyAlignment="1">
      <alignment vertical="center"/>
    </xf>
    <xf numFmtId="0" fontId="8" fillId="0" borderId="4" xfId="0" applyFont="1" applyBorder="1" applyAlignment="1">
      <alignment vertical="center"/>
    </xf>
    <xf numFmtId="49" fontId="3" fillId="14" borderId="4" xfId="2" applyNumberFormat="1" applyFont="1" applyFill="1" applyBorder="1" applyAlignment="1">
      <alignment horizontal="center" vertical="center"/>
    </xf>
    <xf numFmtId="49" fontId="2" fillId="0" borderId="4" xfId="2" applyNumberFormat="1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/>
    </xf>
    <xf numFmtId="0" fontId="35" fillId="14" borderId="4" xfId="0" applyFont="1" applyFill="1" applyBorder="1" applyAlignment="1">
      <alignment vertical="center"/>
    </xf>
    <xf numFmtId="0" fontId="2" fillId="0" borderId="4" xfId="0" applyFont="1" applyBorder="1" applyAlignment="1">
      <alignment horizontal="center"/>
    </xf>
    <xf numFmtId="0" fontId="35" fillId="14" borderId="4" xfId="0" applyFont="1" applyFill="1" applyBorder="1"/>
    <xf numFmtId="49" fontId="2" fillId="0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35" fillId="13" borderId="4" xfId="0" applyFont="1" applyFill="1" applyBorder="1"/>
    <xf numFmtId="0" fontId="8" fillId="0" borderId="4" xfId="0" applyFont="1" applyBorder="1" applyAlignment="1">
      <alignment horizontal="center"/>
    </xf>
    <xf numFmtId="0" fontId="35" fillId="0" borderId="4" xfId="0" applyFont="1" applyBorder="1" applyAlignment="1">
      <alignment vertical="center"/>
    </xf>
    <xf numFmtId="49" fontId="3" fillId="0" borderId="4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37" fillId="0" borderId="4" xfId="1" applyNumberFormat="1" applyFont="1" applyFill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0" fillId="0" borderId="6" xfId="0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2" fillId="9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36" fillId="14" borderId="4" xfId="0" applyFont="1" applyFill="1" applyBorder="1"/>
    <xf numFmtId="4" fontId="2" fillId="13" borderId="2" xfId="0" applyNumberFormat="1" applyFont="1" applyFill="1" applyBorder="1" applyAlignment="1">
      <alignment vertical="center"/>
    </xf>
    <xf numFmtId="0" fontId="14" fillId="14" borderId="4" xfId="1" applyFont="1" applyFill="1" applyBorder="1" applyAlignment="1">
      <alignment horizontal="center" vertical="center"/>
    </xf>
    <xf numFmtId="49" fontId="37" fillId="14" borderId="4" xfId="1" applyNumberFormat="1" applyFont="1" applyFill="1" applyBorder="1" applyAlignment="1">
      <alignment horizontal="center" vertical="center"/>
    </xf>
    <xf numFmtId="0" fontId="11" fillId="14" borderId="3" xfId="1" applyFont="1" applyFill="1" applyBorder="1" applyAlignment="1">
      <alignment horizontal="left" vertical="center" wrapText="1"/>
    </xf>
    <xf numFmtId="0" fontId="11" fillId="14" borderId="1" xfId="1" applyFont="1" applyFill="1" applyBorder="1" applyAlignment="1">
      <alignment horizontal="left" vertical="center" wrapText="1"/>
    </xf>
    <xf numFmtId="0" fontId="3" fillId="14" borderId="1" xfId="3" applyFont="1" applyFill="1" applyBorder="1" applyAlignment="1">
      <alignment horizontal="left" vertical="center" wrapText="1"/>
    </xf>
    <xf numFmtId="0" fontId="3" fillId="14" borderId="3" xfId="0" applyFont="1" applyFill="1" applyBorder="1" applyAlignment="1">
      <alignment horizontal="left" vertical="center"/>
    </xf>
    <xf numFmtId="0" fontId="8" fillId="13" borderId="4" xfId="0" applyFont="1" applyFill="1" applyBorder="1" applyAlignment="1">
      <alignment horizontal="center" vertical="center"/>
    </xf>
    <xf numFmtId="4" fontId="2" fillId="13" borderId="3" xfId="0" applyNumberFormat="1" applyFont="1" applyFill="1" applyBorder="1" applyAlignment="1">
      <alignment vertical="center"/>
    </xf>
    <xf numFmtId="0" fontId="4" fillId="14" borderId="4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vertical="center" wrapText="1"/>
    </xf>
    <xf numFmtId="0" fontId="39" fillId="14" borderId="4" xfId="0" applyFont="1" applyFill="1" applyBorder="1" applyAlignment="1">
      <alignment vertical="center"/>
    </xf>
    <xf numFmtId="0" fontId="11" fillId="14" borderId="1" xfId="3" applyFont="1" applyFill="1" applyBorder="1" applyAlignment="1">
      <alignment horizontal="left" vertical="center" wrapText="1"/>
    </xf>
    <xf numFmtId="49" fontId="25" fillId="9" borderId="6" xfId="0" applyNumberFormat="1" applyFont="1" applyFill="1" applyBorder="1" applyAlignment="1">
      <alignment horizontal="center" vertical="center" textRotation="90"/>
    </xf>
    <xf numFmtId="0" fontId="23" fillId="0" borderId="0" xfId="0" applyFont="1" applyFill="1" applyBorder="1" applyAlignment="1">
      <alignment vertical="center"/>
    </xf>
    <xf numFmtId="49" fontId="29" fillId="1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12" xfId="0" applyFont="1" applyBorder="1"/>
    <xf numFmtId="0" fontId="1" fillId="0" borderId="12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1" fillId="10" borderId="12" xfId="0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7" fillId="3" borderId="12" xfId="0" applyFont="1" applyFill="1" applyBorder="1"/>
    <xf numFmtId="0" fontId="31" fillId="10" borderId="12" xfId="0" applyFont="1" applyFill="1" applyBorder="1" applyAlignment="1">
      <alignment horizontal="left" vertical="center" wrapText="1"/>
    </xf>
    <xf numFmtId="0" fontId="35" fillId="0" borderId="12" xfId="0" applyFont="1" applyBorder="1"/>
    <xf numFmtId="0" fontId="31" fillId="10" borderId="12" xfId="0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36" fillId="0" borderId="12" xfId="0" applyFont="1" applyBorder="1"/>
    <xf numFmtId="0" fontId="35" fillId="3" borderId="12" xfId="0" applyFont="1" applyFill="1" applyBorder="1"/>
    <xf numFmtId="0" fontId="7" fillId="0" borderId="12" xfId="0" applyFont="1" applyFill="1" applyBorder="1"/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26" fillId="0" borderId="2" xfId="0" applyFont="1" applyBorder="1" applyAlignment="1">
      <alignment horizontal="center" vertical="center"/>
    </xf>
    <xf numFmtId="0" fontId="3" fillId="9" borderId="6" xfId="0" applyFont="1" applyFill="1" applyBorder="1" applyAlignment="1">
      <alignment horizontal="left" vertical="center"/>
    </xf>
    <xf numFmtId="0" fontId="3" fillId="9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7" fillId="9" borderId="6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1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/>
    </xf>
    <xf numFmtId="49" fontId="1" fillId="9" borderId="4" xfId="0" applyNumberFormat="1" applyFont="1" applyFill="1" applyBorder="1" applyAlignment="1">
      <alignment horizontal="center" vertical="center"/>
    </xf>
    <xf numFmtId="49" fontId="25" fillId="9" borderId="14" xfId="0" applyNumberFormat="1" applyFont="1" applyFill="1" applyBorder="1" applyAlignment="1">
      <alignment horizontal="center" vertical="center" textRotation="90"/>
    </xf>
    <xf numFmtId="49" fontId="25" fillId="9" borderId="14" xfId="0" applyNumberFormat="1" applyFont="1" applyFill="1" applyBorder="1" applyAlignment="1">
      <alignment horizontal="center" vertical="center" textRotation="90" wrapText="1"/>
    </xf>
    <xf numFmtId="49" fontId="25" fillId="9" borderId="14" xfId="0" applyNumberFormat="1" applyFont="1" applyFill="1" applyBorder="1" applyAlignment="1">
      <alignment horizontal="left" vertical="center" textRotation="90" wrapText="1"/>
    </xf>
    <xf numFmtId="49" fontId="38" fillId="9" borderId="14" xfId="0" applyNumberFormat="1" applyFont="1" applyFill="1" applyBorder="1" applyAlignment="1">
      <alignment horizontal="center" vertical="center" textRotation="90" wrapText="1"/>
    </xf>
    <xf numFmtId="49" fontId="38" fillId="9" borderId="2" xfId="0" applyNumberFormat="1" applyFont="1" applyFill="1" applyBorder="1" applyAlignment="1">
      <alignment horizontal="center" vertical="center" textRotation="90"/>
    </xf>
    <xf numFmtId="49" fontId="26" fillId="9" borderId="14" xfId="0" applyNumberFormat="1" applyFont="1" applyFill="1" applyBorder="1" applyAlignment="1">
      <alignment horizontal="center" vertical="center" textRotation="90" wrapText="1"/>
    </xf>
    <xf numFmtId="49" fontId="25" fillId="9" borderId="2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2" fillId="9" borderId="1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4" fontId="2" fillId="9" borderId="6" xfId="0" applyNumberFormat="1" applyFont="1" applyFill="1" applyBorder="1" applyAlignment="1">
      <alignment vertical="center"/>
    </xf>
    <xf numFmtId="4" fontId="26" fillId="9" borderId="4" xfId="0" applyNumberFormat="1" applyFont="1" applyFill="1" applyBorder="1" applyAlignment="1">
      <alignment horizontal="center" vertical="center" textRotation="90"/>
    </xf>
    <xf numFmtId="4" fontId="26" fillId="9" borderId="4" xfId="0" applyNumberFormat="1" applyFont="1" applyFill="1" applyBorder="1" applyAlignment="1">
      <alignment horizontal="center" vertical="center" textRotation="90" wrapText="1"/>
    </xf>
    <xf numFmtId="0" fontId="26" fillId="9" borderId="4" xfId="0" applyFont="1" applyFill="1" applyBorder="1" applyAlignment="1">
      <alignment horizontal="center" vertical="center" textRotation="90"/>
    </xf>
    <xf numFmtId="4" fontId="2" fillId="9" borderId="1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49" fontId="32" fillId="0" borderId="2" xfId="0" applyNumberFormat="1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4" fontId="26" fillId="9" borderId="1" xfId="0" applyNumberFormat="1" applyFont="1" applyFill="1" applyBorder="1" applyAlignment="1">
      <alignment horizontal="center" vertical="center" textRotation="90" wrapText="1"/>
    </xf>
    <xf numFmtId="0" fontId="26" fillId="9" borderId="4" xfId="0" applyFont="1" applyFill="1" applyBorder="1" applyAlignment="1">
      <alignment horizontal="center" vertical="center" textRotation="90" wrapText="1"/>
    </xf>
    <xf numFmtId="49" fontId="25" fillId="9" borderId="14" xfId="0" applyNumberFormat="1" applyFont="1" applyFill="1" applyBorder="1" applyAlignment="1">
      <alignment vertical="center"/>
    </xf>
    <xf numFmtId="4" fontId="26" fillId="9" borderId="14" xfId="0" applyNumberFormat="1" applyFont="1" applyFill="1" applyBorder="1" applyAlignment="1">
      <alignment horizontal="center" vertical="center" textRotation="90"/>
    </xf>
    <xf numFmtId="4" fontId="26" fillId="9" borderId="14" xfId="0" applyNumberFormat="1" applyFont="1" applyFill="1" applyBorder="1" applyAlignment="1">
      <alignment horizontal="center" vertical="center" textRotation="90" wrapText="1"/>
    </xf>
    <xf numFmtId="0" fontId="26" fillId="9" borderId="14" xfId="0" applyFont="1" applyFill="1" applyBorder="1" applyAlignment="1">
      <alignment horizontal="center" vertical="center" textRotation="90"/>
    </xf>
    <xf numFmtId="49" fontId="4" fillId="0" borderId="1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25" fillId="9" borderId="6" xfId="0" applyNumberFormat="1" applyFont="1" applyFill="1" applyBorder="1" applyAlignment="1">
      <alignment horizontal="center" vertical="center" textRotation="90" wrapText="1"/>
    </xf>
    <xf numFmtId="49" fontId="25" fillId="9" borderId="6" xfId="0" applyNumberFormat="1" applyFont="1" applyFill="1" applyBorder="1" applyAlignment="1">
      <alignment horizontal="left" vertical="center" textRotation="90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13" borderId="15" xfId="0" applyNumberFormat="1" applyFont="1" applyFill="1" applyBorder="1" applyAlignment="1">
      <alignment horizontal="center" vertical="center"/>
    </xf>
    <xf numFmtId="49" fontId="1" fillId="14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7" fillId="13" borderId="15" xfId="0" applyFont="1" applyFill="1" applyBorder="1"/>
    <xf numFmtId="0" fontId="7" fillId="0" borderId="15" xfId="0" applyFont="1" applyBorder="1"/>
    <xf numFmtId="0" fontId="7" fillId="3" borderId="15" xfId="0" applyFont="1" applyFill="1" applyBorder="1"/>
    <xf numFmtId="0" fontId="7" fillId="0" borderId="15" xfId="0" applyFont="1" applyFill="1" applyBorder="1"/>
    <xf numFmtId="0" fontId="40" fillId="0" borderId="0" xfId="0" applyFont="1"/>
    <xf numFmtId="4" fontId="5" fillId="0" borderId="0" xfId="0" applyNumberFormat="1" applyFont="1" applyAlignment="1">
      <alignment horizontal="center"/>
    </xf>
    <xf numFmtId="0" fontId="33" fillId="0" borderId="0" xfId="0" applyFont="1"/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1" fillId="0" borderId="0" xfId="0" applyFont="1"/>
    <xf numFmtId="0" fontId="2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" fontId="21" fillId="3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>
      <alignment horizontal="center" vertical="center" textRotation="90" wrapText="1"/>
    </xf>
    <xf numFmtId="0" fontId="28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5" fillId="0" borderId="2" xfId="0" applyFont="1" applyBorder="1" applyAlignment="1">
      <alignment horizontal="left" vertical="center"/>
    </xf>
    <xf numFmtId="49" fontId="27" fillId="0" borderId="12" xfId="0" applyNumberFormat="1" applyFont="1" applyFill="1" applyBorder="1" applyAlignment="1">
      <alignment horizontal="center" vertical="center"/>
    </xf>
    <xf numFmtId="49" fontId="32" fillId="0" borderId="12" xfId="0" applyNumberFormat="1" applyFont="1" applyFill="1" applyBorder="1" applyAlignment="1">
      <alignment horizontal="center" vertical="center"/>
    </xf>
    <xf numFmtId="49" fontId="32" fillId="0" borderId="15" xfId="0" applyNumberFormat="1" applyFont="1" applyFill="1" applyBorder="1" applyAlignment="1">
      <alignment horizontal="center" vertical="center"/>
    </xf>
    <xf numFmtId="0" fontId="27" fillId="0" borderId="11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49" fontId="4" fillId="12" borderId="12" xfId="0" applyNumberFormat="1" applyFont="1" applyFill="1" applyBorder="1" applyAlignment="1">
      <alignment horizontal="center" vertical="center"/>
    </xf>
    <xf numFmtId="49" fontId="3" fillId="12" borderId="12" xfId="0" applyNumberFormat="1" applyFont="1" applyFill="1" applyBorder="1" applyAlignment="1">
      <alignment horizontal="center" vertical="center"/>
    </xf>
    <xf numFmtId="49" fontId="2" fillId="12" borderId="12" xfId="0" applyNumberFormat="1" applyFont="1" applyFill="1" applyBorder="1" applyAlignment="1">
      <alignment horizontal="center" vertical="center"/>
    </xf>
    <xf numFmtId="49" fontId="1" fillId="12" borderId="15" xfId="0" applyNumberFormat="1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49" fontId="2" fillId="12" borderId="0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left" vertical="center"/>
    </xf>
    <xf numFmtId="4" fontId="2" fillId="12" borderId="1" xfId="0" applyNumberFormat="1" applyFont="1" applyFill="1" applyBorder="1" applyAlignment="1">
      <alignment horizontal="right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13" borderId="0" xfId="0" applyFont="1" applyFill="1" applyBorder="1" applyAlignment="1">
      <alignment horizontal="center" vertical="center"/>
    </xf>
    <xf numFmtId="0" fontId="1" fillId="13" borderId="0" xfId="0" applyFont="1" applyFill="1" applyBorder="1" applyAlignment="1">
      <alignment horizontal="center" vertical="center"/>
    </xf>
    <xf numFmtId="49" fontId="2" fillId="13" borderId="0" xfId="0" applyNumberFormat="1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4" fontId="2" fillId="0" borderId="10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12" borderId="12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49" fontId="8" fillId="12" borderId="12" xfId="0" applyNumberFormat="1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49" fontId="8" fillId="12" borderId="4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4" fontId="8" fillId="12" borderId="1" xfId="0" applyNumberFormat="1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5" fillId="13" borderId="4" xfId="0" applyFont="1" applyFill="1" applyBorder="1" applyAlignment="1">
      <alignment horizontal="center" vertical="center"/>
    </xf>
    <xf numFmtId="49" fontId="8" fillId="13" borderId="4" xfId="0" applyNumberFormat="1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left" vertical="center"/>
    </xf>
    <xf numFmtId="4" fontId="8" fillId="13" borderId="3" xfId="0" applyNumberFormat="1" applyFont="1" applyFill="1" applyBorder="1" applyAlignment="1">
      <alignment vertical="center"/>
    </xf>
    <xf numFmtId="4" fontId="8" fillId="13" borderId="8" xfId="0" applyNumberFormat="1" applyFont="1" applyFill="1" applyBorder="1" applyAlignment="1">
      <alignment vertical="center"/>
    </xf>
    <xf numFmtId="0" fontId="8" fillId="13" borderId="4" xfId="0" applyFont="1" applyFill="1" applyBorder="1" applyAlignment="1">
      <alignment vertical="center"/>
    </xf>
    <xf numFmtId="0" fontId="11" fillId="13" borderId="2" xfId="0" applyFont="1" applyFill="1" applyBorder="1" applyAlignment="1">
      <alignment horizontal="left" vertical="center"/>
    </xf>
    <xf numFmtId="4" fontId="5" fillId="13" borderId="2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4" fontId="8" fillId="0" borderId="8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4" fontId="8" fillId="12" borderId="6" xfId="0" applyNumberFormat="1" applyFont="1" applyFill="1" applyBorder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vertical="center"/>
    </xf>
    <xf numFmtId="0" fontId="32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4" fontId="32" fillId="0" borderId="0" xfId="0" applyNumberFormat="1" applyFont="1" applyFill="1" applyBorder="1" applyAlignment="1">
      <alignment vertical="center"/>
    </xf>
    <xf numFmtId="4" fontId="32" fillId="0" borderId="12" xfId="0" applyNumberFormat="1" applyFont="1" applyFill="1" applyBorder="1" applyAlignment="1">
      <alignment vertical="center"/>
    </xf>
    <xf numFmtId="0" fontId="1" fillId="12" borderId="12" xfId="0" applyFont="1" applyFill="1" applyBorder="1" applyAlignment="1">
      <alignment horizontal="center" vertical="center"/>
    </xf>
    <xf numFmtId="0" fontId="2" fillId="12" borderId="12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49" fontId="2" fillId="12" borderId="4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/>
    </xf>
    <xf numFmtId="4" fontId="2" fillId="12" borderId="1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42" fillId="0" borderId="12" xfId="3" applyFont="1" applyFill="1" applyBorder="1" applyAlignment="1">
      <alignment horizontal="center" vertical="center"/>
    </xf>
    <xf numFmtId="0" fontId="8" fillId="0" borderId="12" xfId="3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2" fillId="12" borderId="4" xfId="0" applyFont="1" applyFill="1" applyBorder="1" applyAlignment="1">
      <alignment horizontal="center" vertical="center"/>
    </xf>
    <xf numFmtId="0" fontId="7" fillId="12" borderId="0" xfId="0" applyFont="1" applyFill="1"/>
    <xf numFmtId="0" fontId="11" fillId="0" borderId="1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4" fontId="2" fillId="0" borderId="2" xfId="0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4" fontId="1" fillId="0" borderId="12" xfId="2" applyNumberFormat="1" applyFont="1" applyFill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5" fillId="0" borderId="12" xfId="0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2" fillId="13" borderId="2" xfId="0" applyFont="1" applyFill="1" applyBorder="1" applyAlignment="1">
      <alignment horizontal="left" vertical="center"/>
    </xf>
    <xf numFmtId="4" fontId="8" fillId="13" borderId="2" xfId="0" applyNumberFormat="1" applyFont="1" applyFill="1" applyBorder="1" applyAlignment="1">
      <alignment vertical="center"/>
    </xf>
    <xf numFmtId="4" fontId="8" fillId="13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vertical="center"/>
    </xf>
    <xf numFmtId="4" fontId="5" fillId="13" borderId="3" xfId="0" applyNumberFormat="1" applyFont="1" applyFill="1" applyBorder="1" applyAlignment="1">
      <alignment vertical="center"/>
    </xf>
    <xf numFmtId="0" fontId="3" fillId="15" borderId="6" xfId="0" applyFont="1" applyFill="1" applyBorder="1" applyAlignment="1">
      <alignment horizontal="left" vertical="center"/>
    </xf>
    <xf numFmtId="4" fontId="2" fillId="15" borderId="4" xfId="2" applyNumberFormat="1" applyFont="1" applyFill="1" applyBorder="1" applyAlignment="1">
      <alignment vertical="center"/>
    </xf>
    <xf numFmtId="4" fontId="2" fillId="12" borderId="6" xfId="0" applyNumberFormat="1" applyFont="1" applyFill="1" applyBorder="1" applyAlignment="1">
      <alignment vertical="center"/>
    </xf>
    <xf numFmtId="0" fontId="3" fillId="13" borderId="2" xfId="0" applyFont="1" applyFill="1" applyBorder="1" applyAlignment="1">
      <alignment horizontal="left" vertical="center" wrapText="1"/>
    </xf>
    <xf numFmtId="4" fontId="2" fillId="0" borderId="6" xfId="2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3" fillId="12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/>
    </xf>
    <xf numFmtId="0" fontId="14" fillId="0" borderId="12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vertical="center"/>
    </xf>
    <xf numFmtId="0" fontId="14" fillId="3" borderId="12" xfId="1" applyFont="1" applyFill="1" applyBorder="1" applyAlignment="1">
      <alignment horizontal="center" vertical="center"/>
    </xf>
    <xf numFmtId="49" fontId="3" fillId="13" borderId="4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49" fontId="1" fillId="13" borderId="15" xfId="1" applyNumberFormat="1" applyFont="1" applyFill="1" applyBorder="1" applyAlignment="1">
      <alignment horizontal="center" vertical="center"/>
    </xf>
    <xf numFmtId="0" fontId="4" fillId="13" borderId="4" xfId="1" applyFont="1" applyFill="1" applyBorder="1" applyAlignment="1">
      <alignment horizontal="center" vertical="center"/>
    </xf>
    <xf numFmtId="0" fontId="3" fillId="13" borderId="2" xfId="1" applyFont="1" applyFill="1" applyBorder="1" applyAlignment="1">
      <alignment horizontal="left" vertical="center"/>
    </xf>
    <xf numFmtId="4" fontId="4" fillId="13" borderId="2" xfId="1" applyNumberFormat="1" applyFont="1" applyFill="1" applyBorder="1" applyAlignment="1">
      <alignment vertical="center"/>
    </xf>
    <xf numFmtId="4" fontId="4" fillId="13" borderId="10" xfId="1" applyNumberFormat="1" applyFont="1" applyFill="1" applyBorder="1" applyAlignment="1">
      <alignment vertical="center"/>
    </xf>
    <xf numFmtId="0" fontId="3" fillId="3" borderId="12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49" fontId="1" fillId="3" borderId="15" xfId="1" applyNumberFormat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1" fillId="3" borderId="0" xfId="1" applyFont="1" applyFill="1" applyBorder="1" applyAlignment="1">
      <alignment horizontal="left" vertical="center"/>
    </xf>
    <xf numFmtId="4" fontId="4" fillId="0" borderId="0" xfId="1" applyNumberFormat="1" applyFont="1" applyFill="1" applyBorder="1" applyAlignment="1">
      <alignment vertical="center"/>
    </xf>
    <xf numFmtId="4" fontId="4" fillId="0" borderId="12" xfId="1" applyNumberFormat="1" applyFont="1" applyFill="1" applyBorder="1" applyAlignment="1">
      <alignment vertical="center"/>
    </xf>
    <xf numFmtId="0" fontId="8" fillId="0" borderId="12" xfId="1" applyFont="1" applyFill="1" applyBorder="1" applyAlignment="1">
      <alignment horizontal="center" vertical="center"/>
    </xf>
    <xf numFmtId="49" fontId="4" fillId="0" borderId="12" xfId="1" applyNumberFormat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vertical="center"/>
    </xf>
    <xf numFmtId="0" fontId="3" fillId="14" borderId="1" xfId="0" applyFont="1" applyFill="1" applyBorder="1" applyAlignment="1">
      <alignment horizontal="left" vertical="center"/>
    </xf>
    <xf numFmtId="4" fontId="8" fillId="0" borderId="13" xfId="0" applyNumberFormat="1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0" borderId="10" xfId="0" applyNumberFormat="1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4" fontId="1" fillId="12" borderId="1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0" fontId="3" fillId="13" borderId="1" xfId="0" applyFont="1" applyFill="1" applyBorder="1" applyAlignment="1">
      <alignment horizontal="left" vertical="center"/>
    </xf>
    <xf numFmtId="4" fontId="1" fillId="13" borderId="1" xfId="0" applyNumberFormat="1" applyFont="1" applyFill="1" applyBorder="1" applyAlignment="1">
      <alignment vertical="center"/>
    </xf>
    <xf numFmtId="4" fontId="2" fillId="13" borderId="6" xfId="0" applyNumberFormat="1" applyFont="1" applyFill="1" applyBorder="1" applyAlignment="1">
      <alignment vertical="center"/>
    </xf>
    <xf numFmtId="0" fontId="5" fillId="13" borderId="8" xfId="0" applyFont="1" applyFill="1" applyBorder="1" applyAlignment="1">
      <alignment vertical="center"/>
    </xf>
    <xf numFmtId="4" fontId="1" fillId="0" borderId="4" xfId="0" applyNumberFormat="1" applyFont="1" applyFill="1" applyBorder="1"/>
    <xf numFmtId="0" fontId="4" fillId="0" borderId="2" xfId="0" applyFont="1" applyBorder="1" applyAlignment="1">
      <alignment horizontal="left" vertical="center"/>
    </xf>
    <xf numFmtId="4" fontId="2" fillId="0" borderId="2" xfId="2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vertical="center"/>
    </xf>
    <xf numFmtId="4" fontId="5" fillId="13" borderId="3" xfId="2" applyNumberFormat="1" applyFont="1" applyFill="1" applyBorder="1" applyAlignment="1">
      <alignment vertical="center"/>
    </xf>
    <xf numFmtId="4" fontId="5" fillId="13" borderId="3" xfId="1" applyNumberFormat="1" applyFont="1" applyFill="1" applyBorder="1" applyAlignment="1">
      <alignment vertical="center"/>
    </xf>
    <xf numFmtId="4" fontId="8" fillId="0" borderId="12" xfId="1" applyNumberFormat="1" applyFont="1" applyFill="1" applyBorder="1" applyAlignment="1">
      <alignment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4" fontId="8" fillId="12" borderId="2" xfId="0" applyNumberFormat="1" applyFont="1" applyFill="1" applyBorder="1" applyAlignment="1">
      <alignment vertical="center"/>
    </xf>
    <xf numFmtId="0" fontId="11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7" fillId="12" borderId="12" xfId="3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3" fillId="13" borderId="8" xfId="0" applyFont="1" applyFill="1" applyBorder="1" applyAlignment="1">
      <alignment horizontal="left" vertical="center"/>
    </xf>
    <xf numFmtId="0" fontId="3" fillId="13" borderId="10" xfId="0" applyFont="1" applyFill="1" applyBorder="1" applyAlignment="1">
      <alignment vertical="center"/>
    </xf>
    <xf numFmtId="0" fontId="8" fillId="12" borderId="4" xfId="0" applyFont="1" applyFill="1" applyBorder="1" applyAlignment="1">
      <alignment horizontal="center" vertical="center"/>
    </xf>
    <xf numFmtId="0" fontId="36" fillId="13" borderId="4" xfId="0" applyFont="1" applyFill="1" applyBorder="1"/>
    <xf numFmtId="0" fontId="2" fillId="14" borderId="4" xfId="2" applyFont="1" applyFill="1" applyBorder="1" applyAlignment="1">
      <alignment horizontal="center" vertical="center"/>
    </xf>
    <xf numFmtId="49" fontId="26" fillId="9" borderId="14" xfId="0" applyNumberFormat="1" applyFont="1" applyFill="1" applyBorder="1" applyAlignment="1">
      <alignment horizontal="center" vertical="center" textRotation="90"/>
    </xf>
    <xf numFmtId="0" fontId="8" fillId="0" borderId="2" xfId="0" applyFont="1" applyFill="1" applyBorder="1" applyAlignment="1">
      <alignment horizontal="center" vertical="center"/>
    </xf>
    <xf numFmtId="0" fontId="26" fillId="1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3" borderId="0" xfId="1" applyFont="1" applyFill="1" applyBorder="1" applyAlignment="1">
      <alignment horizontal="left"/>
    </xf>
    <xf numFmtId="49" fontId="26" fillId="9" borderId="10" xfId="0" applyNumberFormat="1" applyFont="1" applyFill="1" applyBorder="1" applyAlignment="1">
      <alignment horizontal="center" vertical="center" textRotation="90"/>
    </xf>
    <xf numFmtId="0" fontId="2" fillId="0" borderId="4" xfId="0" applyFont="1" applyBorder="1"/>
    <xf numFmtId="0" fontId="2" fillId="13" borderId="4" xfId="1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/>
    </xf>
    <xf numFmtId="0" fontId="39" fillId="14" borderId="4" xfId="1" applyFont="1" applyFill="1" applyBorder="1" applyAlignment="1">
      <alignment horizontal="center" vertical="center"/>
    </xf>
    <xf numFmtId="0" fontId="2" fillId="14" borderId="4" xfId="0" applyFont="1" applyFill="1" applyBorder="1"/>
    <xf numFmtId="0" fontId="2" fillId="0" borderId="4" xfId="0" applyFont="1" applyFill="1" applyBorder="1"/>
    <xf numFmtId="0" fontId="20" fillId="0" borderId="0" xfId="0" applyFont="1"/>
    <xf numFmtId="0" fontId="44" fillId="0" borderId="0" xfId="0" applyFont="1"/>
    <xf numFmtId="4" fontId="12" fillId="0" borderId="0" xfId="0" applyNumberFormat="1" applyFont="1"/>
    <xf numFmtId="0" fontId="2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0" fontId="2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" fontId="28" fillId="0" borderId="0" xfId="0" applyNumberFormat="1" applyFont="1"/>
    <xf numFmtId="0" fontId="43" fillId="0" borderId="0" xfId="0" applyFont="1"/>
    <xf numFmtId="0" fontId="45" fillId="0" borderId="0" xfId="0" applyFont="1"/>
    <xf numFmtId="0" fontId="46" fillId="0" borderId="0" xfId="0" applyFont="1"/>
    <xf numFmtId="0" fontId="3" fillId="0" borderId="0" xfId="0" applyFont="1" applyAlignment="1">
      <alignment horizontal="center" vertical="center"/>
    </xf>
    <xf numFmtId="0" fontId="12" fillId="0" borderId="5" xfId="0" applyFont="1" applyFill="1" applyBorder="1" applyAlignment="1" applyProtection="1">
      <alignment horizontal="left" vertical="center" wrapText="1"/>
    </xf>
    <xf numFmtId="4" fontId="12" fillId="0" borderId="4" xfId="0" applyNumberFormat="1" applyFont="1" applyBorder="1" applyAlignment="1">
      <alignment horizontal="left" vertical="center" wrapText="1"/>
    </xf>
    <xf numFmtId="3" fontId="12" fillId="0" borderId="0" xfId="4" applyNumberFormat="1" applyFont="1" applyFill="1" applyBorder="1" applyAlignment="1" applyProtection="1">
      <alignment horizontal="right" vertical="center"/>
    </xf>
    <xf numFmtId="49" fontId="25" fillId="9" borderId="1" xfId="0" applyNumberFormat="1" applyFont="1" applyFill="1" applyBorder="1" applyAlignment="1">
      <alignment horizontal="center" vertical="center" textRotation="90" wrapText="1"/>
    </xf>
    <xf numFmtId="49" fontId="15" fillId="0" borderId="15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22" fillId="0" borderId="4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left" vertical="center"/>
    </xf>
    <xf numFmtId="4" fontId="22" fillId="0" borderId="0" xfId="2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left" vertical="center" wrapText="1"/>
    </xf>
    <xf numFmtId="0" fontId="27" fillId="9" borderId="6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left" vertical="center" wrapText="1"/>
    </xf>
    <xf numFmtId="0" fontId="3" fillId="14" borderId="3" xfId="2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1" fillId="0" borderId="5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left" vertical="center"/>
    </xf>
    <xf numFmtId="4" fontId="1" fillId="0" borderId="13" xfId="0" applyNumberFormat="1" applyFont="1" applyFill="1" applyBorder="1" applyAlignment="1">
      <alignment vertical="center"/>
    </xf>
    <xf numFmtId="0" fontId="27" fillId="9" borderId="6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vertical="center"/>
    </xf>
    <xf numFmtId="0" fontId="3" fillId="9" borderId="2" xfId="0" applyFont="1" applyFill="1" applyBorder="1" applyAlignment="1">
      <alignment vertical="center"/>
    </xf>
    <xf numFmtId="49" fontId="1" fillId="9" borderId="1" xfId="0" applyNumberFormat="1" applyFont="1" applyFill="1" applyBorder="1" applyAlignment="1">
      <alignment vertical="center"/>
    </xf>
    <xf numFmtId="0" fontId="1" fillId="9" borderId="6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vertical="center"/>
    </xf>
    <xf numFmtId="0" fontId="32" fillId="0" borderId="12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vertical="center"/>
    </xf>
    <xf numFmtId="0" fontId="27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49" fontId="1" fillId="0" borderId="13" xfId="0" applyNumberFormat="1" applyFont="1" applyFill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left" vertical="center"/>
    </xf>
    <xf numFmtId="49" fontId="1" fillId="0" borderId="4" xfId="0" applyNumberFormat="1" applyFont="1" applyFill="1" applyBorder="1" applyAlignment="1">
      <alignment horizontal="left" vertical="center" wrapText="1"/>
    </xf>
    <xf numFmtId="0" fontId="27" fillId="15" borderId="6" xfId="0" applyFont="1" applyFill="1" applyBorder="1" applyAlignment="1">
      <alignment horizontal="left" vertical="center"/>
    </xf>
    <xf numFmtId="4" fontId="8" fillId="15" borderId="4" xfId="0" applyNumberFormat="1" applyFont="1" applyFill="1" applyBorder="1" applyAlignment="1">
      <alignment vertical="center"/>
    </xf>
    <xf numFmtId="4" fontId="2" fillId="15" borderId="4" xfId="0" applyNumberFormat="1" applyFont="1" applyFill="1" applyBorder="1" applyAlignment="1">
      <alignment vertical="center"/>
    </xf>
    <xf numFmtId="0" fontId="12" fillId="3" borderId="4" xfId="3" applyFont="1" applyFill="1" applyBorder="1" applyAlignment="1">
      <alignment horizontal="left" vertical="center" wrapText="1"/>
    </xf>
    <xf numFmtId="0" fontId="3" fillId="14" borderId="4" xfId="0" applyFont="1" applyFill="1" applyBorder="1" applyAlignment="1">
      <alignment horizontal="left" vertical="center"/>
    </xf>
    <xf numFmtId="0" fontId="3" fillId="14" borderId="4" xfId="0" applyFont="1" applyFill="1" applyBorder="1" applyAlignment="1">
      <alignment horizontal="left" vertical="center" wrapText="1"/>
    </xf>
    <xf numFmtId="0" fontId="3" fillId="14" borderId="4" xfId="3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49" fontId="2" fillId="14" borderId="5" xfId="0" applyNumberFormat="1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vertical="center" wrapText="1"/>
    </xf>
    <xf numFmtId="0" fontId="2" fillId="16" borderId="4" xfId="0" applyFont="1" applyFill="1" applyBorder="1" applyAlignment="1">
      <alignment horizontal="center" vertical="center"/>
    </xf>
    <xf numFmtId="0" fontId="1" fillId="16" borderId="4" xfId="0" applyFont="1" applyFill="1" applyBorder="1" applyAlignment="1">
      <alignment horizontal="center" vertical="center"/>
    </xf>
    <xf numFmtId="49" fontId="2" fillId="16" borderId="4" xfId="0" applyNumberFormat="1" applyFont="1" applyFill="1" applyBorder="1" applyAlignment="1">
      <alignment horizontal="center" vertical="center"/>
    </xf>
    <xf numFmtId="0" fontId="12" fillId="16" borderId="10" xfId="0" applyFont="1" applyFill="1" applyBorder="1" applyAlignment="1">
      <alignment vertical="center" wrapText="1"/>
    </xf>
    <xf numFmtId="4" fontId="2" fillId="16" borderId="4" xfId="0" applyNumberFormat="1" applyFont="1" applyFill="1" applyBorder="1" applyAlignment="1">
      <alignment vertical="center"/>
    </xf>
    <xf numFmtId="4" fontId="1" fillId="16" borderId="4" xfId="0" applyNumberFormat="1" applyFont="1" applyFill="1" applyBorder="1" applyAlignment="1">
      <alignment vertical="center"/>
    </xf>
    <xf numFmtId="0" fontId="12" fillId="16" borderId="4" xfId="0" applyFont="1" applyFill="1" applyBorder="1" applyAlignment="1">
      <alignment vertical="center" wrapText="1"/>
    </xf>
    <xf numFmtId="4" fontId="5" fillId="16" borderId="4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12" fillId="16" borderId="1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left" vertical="center" wrapText="1"/>
    </xf>
    <xf numFmtId="0" fontId="8" fillId="16" borderId="4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left" vertical="center"/>
    </xf>
    <xf numFmtId="4" fontId="15" fillId="3" borderId="0" xfId="0" applyNumberFormat="1" applyFont="1" applyFill="1" applyAlignment="1">
      <alignment vertical="center"/>
    </xf>
    <xf numFmtId="0" fontId="3" fillId="16" borderId="1" xfId="0" applyFont="1" applyFill="1" applyBorder="1" applyAlignment="1">
      <alignment vertical="center" wrapText="1"/>
    </xf>
    <xf numFmtId="4" fontId="1" fillId="16" borderId="1" xfId="0" applyNumberFormat="1" applyFont="1" applyFill="1" applyBorder="1" applyAlignment="1">
      <alignment vertical="center" wrapText="1"/>
    </xf>
    <xf numFmtId="0" fontId="1" fillId="16" borderId="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0" fontId="3" fillId="14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4" fontId="15" fillId="0" borderId="0" xfId="0" applyNumberFormat="1" applyFont="1" applyFill="1" applyAlignment="1">
      <alignment vertical="center"/>
    </xf>
    <xf numFmtId="4" fontId="1" fillId="16" borderId="4" xfId="0" applyNumberFormat="1" applyFont="1" applyFill="1" applyBorder="1" applyAlignment="1">
      <alignment vertical="center" wrapText="1"/>
    </xf>
    <xf numFmtId="0" fontId="1" fillId="16" borderId="4" xfId="0" applyFont="1" applyFill="1" applyBorder="1" applyAlignment="1">
      <alignment vertical="center" wrapText="1"/>
    </xf>
    <xf numFmtId="49" fontId="11" fillId="8" borderId="4" xfId="0" applyNumberFormat="1" applyFont="1" applyFill="1" applyBorder="1" applyAlignment="1">
      <alignment horizontal="left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4" xfId="0" applyFont="1" applyFill="1" applyBorder="1" applyAlignment="1">
      <alignment horizontal="left" vertical="center"/>
    </xf>
    <xf numFmtId="4" fontId="1" fillId="3" borderId="4" xfId="0" applyNumberFormat="1" applyFont="1" applyFill="1" applyBorder="1" applyAlignment="1">
      <alignment vertical="center"/>
    </xf>
    <xf numFmtId="0" fontId="2" fillId="0" borderId="0" xfId="0" applyFont="1"/>
    <xf numFmtId="0" fontId="39" fillId="0" borderId="0" xfId="0" applyFont="1"/>
    <xf numFmtId="0" fontId="21" fillId="3" borderId="0" xfId="0" applyFont="1" applyFill="1" applyBorder="1"/>
    <xf numFmtId="0" fontId="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Border="1"/>
    <xf numFmtId="0" fontId="8" fillId="0" borderId="0" xfId="0" applyFont="1" applyAlignment="1">
      <alignment vertical="center"/>
    </xf>
    <xf numFmtId="0" fontId="8" fillId="0" borderId="0" xfId="0" applyFont="1"/>
    <xf numFmtId="0" fontId="21" fillId="0" borderId="0" xfId="0" applyFont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3" borderId="0" xfId="0" applyFont="1" applyFill="1"/>
    <xf numFmtId="4" fontId="1" fillId="0" borderId="0" xfId="0" applyNumberFormat="1" applyFont="1"/>
    <xf numFmtId="0" fontId="1" fillId="3" borderId="0" xfId="0" applyFont="1" applyFill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39" fillId="3" borderId="0" xfId="0" applyFont="1" applyFill="1" applyBorder="1"/>
    <xf numFmtId="4" fontId="2" fillId="0" borderId="0" xfId="0" applyNumberFormat="1" applyFont="1"/>
    <xf numFmtId="0" fontId="8" fillId="0" borderId="0" xfId="0" applyFont="1" applyAlignment="1">
      <alignment horizontal="center"/>
    </xf>
    <xf numFmtId="4" fontId="23" fillId="0" borderId="4" xfId="0" applyNumberFormat="1" applyFont="1" applyFill="1" applyBorder="1"/>
    <xf numFmtId="0" fontId="48" fillId="0" borderId="6" xfId="0" applyFont="1" applyBorder="1" applyAlignment="1">
      <alignment horizontal="left" vertical="center"/>
    </xf>
    <xf numFmtId="4" fontId="22" fillId="0" borderId="4" xfId="0" applyNumberFormat="1" applyFont="1" applyFill="1" applyBorder="1" applyAlignment="1">
      <alignment vertical="center"/>
    </xf>
    <xf numFmtId="4" fontId="15" fillId="0" borderId="4" xfId="2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4" fontId="18" fillId="0" borderId="4" xfId="0" applyNumberFormat="1" applyFont="1" applyFill="1" applyBorder="1" applyAlignment="1">
      <alignment vertical="center"/>
    </xf>
    <xf numFmtId="4" fontId="49" fillId="0" borderId="1" xfId="0" applyNumberFormat="1" applyFont="1" applyFill="1" applyBorder="1" applyAlignment="1">
      <alignment vertical="center"/>
    </xf>
    <xf numFmtId="4" fontId="49" fillId="0" borderId="6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4" fontId="18" fillId="16" borderId="0" xfId="0" applyNumberFormat="1" applyFont="1" applyFill="1" applyBorder="1" applyAlignment="1">
      <alignment vertical="center"/>
    </xf>
    <xf numFmtId="4" fontId="49" fillId="16" borderId="4" xfId="0" applyNumberFormat="1" applyFont="1" applyFill="1" applyBorder="1" applyAlignment="1">
      <alignment vertical="center"/>
    </xf>
    <xf numFmtId="4" fontId="18" fillId="16" borderId="4" xfId="0" applyNumberFormat="1" applyFont="1" applyFill="1" applyBorder="1" applyAlignment="1">
      <alignment vertical="center"/>
    </xf>
    <xf numFmtId="4" fontId="49" fillId="0" borderId="4" xfId="0" applyNumberFormat="1" applyFont="1" applyFill="1" applyBorder="1" applyAlignment="1">
      <alignment vertical="center"/>
    </xf>
    <xf numFmtId="4" fontId="18" fillId="0" borderId="4" xfId="2" applyNumberFormat="1" applyFont="1" applyFill="1" applyBorder="1" applyAlignment="1">
      <alignment vertical="center"/>
    </xf>
    <xf numFmtId="4" fontId="49" fillId="0" borderId="4" xfId="2" applyNumberFormat="1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49" fontId="18" fillId="14" borderId="15" xfId="0" applyNumberFormat="1" applyFont="1" applyFill="1" applyBorder="1" applyAlignment="1">
      <alignment horizontal="center" vertical="center"/>
    </xf>
    <xf numFmtId="0" fontId="49" fillId="14" borderId="4" xfId="0" applyFont="1" applyFill="1" applyBorder="1" applyAlignment="1">
      <alignment horizontal="center" vertical="center"/>
    </xf>
    <xf numFmtId="0" fontId="50" fillId="14" borderId="4" xfId="0" applyFont="1" applyFill="1" applyBorder="1" applyAlignment="1">
      <alignment horizontal="center" vertical="center"/>
    </xf>
    <xf numFmtId="0" fontId="51" fillId="14" borderId="4" xfId="0" applyFont="1" applyFill="1" applyBorder="1" applyAlignment="1">
      <alignment vertical="center"/>
    </xf>
    <xf numFmtId="0" fontId="52" fillId="14" borderId="1" xfId="0" applyFont="1" applyFill="1" applyBorder="1" applyAlignment="1">
      <alignment horizontal="left" vertical="center" wrapText="1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0" fontId="50" fillId="0" borderId="0" xfId="0" applyFont="1"/>
    <xf numFmtId="49" fontId="18" fillId="0" borderId="15" xfId="0" applyNumberFormat="1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53" fillId="0" borderId="6" xfId="0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center" vertical="center"/>
    </xf>
    <xf numFmtId="0" fontId="49" fillId="0" borderId="4" xfId="0" applyFont="1" applyBorder="1" applyAlignment="1">
      <alignment vertical="center"/>
    </xf>
    <xf numFmtId="4" fontId="18" fillId="0" borderId="0" xfId="0" applyNumberFormat="1" applyFont="1"/>
    <xf numFmtId="0" fontId="52" fillId="10" borderId="6" xfId="0" applyFont="1" applyFill="1" applyBorder="1" applyAlignment="1">
      <alignment horizontal="left" vertical="center"/>
    </xf>
    <xf numFmtId="49" fontId="15" fillId="14" borderId="15" xfId="0" applyNumberFormat="1" applyFont="1" applyFill="1" applyBorder="1" applyAlignment="1">
      <alignment horizontal="center" vertical="center"/>
    </xf>
    <xf numFmtId="0" fontId="22" fillId="14" borderId="4" xfId="0" applyFont="1" applyFill="1" applyBorder="1" applyAlignment="1">
      <alignment horizontal="center" vertical="center"/>
    </xf>
    <xf numFmtId="0" fontId="15" fillId="14" borderId="4" xfId="0" applyFont="1" applyFill="1" applyBorder="1" applyAlignment="1">
      <alignment horizontal="center" vertical="center"/>
    </xf>
    <xf numFmtId="49" fontId="22" fillId="14" borderId="4" xfId="0" applyNumberFormat="1" applyFont="1" applyFill="1" applyBorder="1" applyAlignment="1">
      <alignment horizontal="center" vertical="center"/>
    </xf>
    <xf numFmtId="0" fontId="47" fillId="14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8" fillId="0" borderId="6" xfId="0" applyFont="1" applyFill="1" applyBorder="1" applyAlignment="1">
      <alignment vertical="center" wrapText="1"/>
    </xf>
    <xf numFmtId="49" fontId="15" fillId="0" borderId="15" xfId="0" applyNumberFormat="1" applyFont="1" applyFill="1" applyBorder="1" applyAlignment="1">
      <alignment horizontal="center" vertical="center"/>
    </xf>
    <xf numFmtId="0" fontId="22" fillId="16" borderId="4" xfId="0" applyFont="1" applyFill="1" applyBorder="1" applyAlignment="1">
      <alignment horizontal="center" vertical="center"/>
    </xf>
    <xf numFmtId="0" fontId="15" fillId="16" borderId="4" xfId="0" applyFont="1" applyFill="1" applyBorder="1" applyAlignment="1">
      <alignment horizontal="center" vertical="center"/>
    </xf>
    <xf numFmtId="49" fontId="22" fillId="16" borderId="4" xfId="0" applyNumberFormat="1" applyFont="1" applyFill="1" applyBorder="1" applyAlignment="1">
      <alignment horizontal="center" vertical="center"/>
    </xf>
    <xf numFmtId="0" fontId="47" fillId="16" borderId="1" xfId="0" applyFont="1" applyFill="1" applyBorder="1" applyAlignment="1">
      <alignment vertical="center" wrapText="1"/>
    </xf>
    <xf numFmtId="4" fontId="15" fillId="16" borderId="4" xfId="0" applyNumberFormat="1" applyFont="1" applyFill="1" applyBorder="1" applyAlignment="1">
      <alignment vertical="center" wrapText="1"/>
    </xf>
    <xf numFmtId="0" fontId="15" fillId="16" borderId="4" xfId="0" applyFont="1" applyFill="1" applyBorder="1" applyAlignment="1">
      <alignment vertical="center" wrapText="1"/>
    </xf>
    <xf numFmtId="4" fontId="15" fillId="16" borderId="4" xfId="0" applyNumberFormat="1" applyFont="1" applyFill="1" applyBorder="1" applyAlignment="1">
      <alignment vertical="center"/>
    </xf>
    <xf numFmtId="49" fontId="15" fillId="0" borderId="4" xfId="0" applyNumberFormat="1" applyFont="1" applyBorder="1" applyAlignment="1">
      <alignment horizontal="center" vertical="center"/>
    </xf>
    <xf numFmtId="0" fontId="54" fillId="0" borderId="4" xfId="0" applyFont="1" applyBorder="1"/>
    <xf numFmtId="0" fontId="47" fillId="10" borderId="6" xfId="0" applyFont="1" applyFill="1" applyBorder="1" applyAlignment="1">
      <alignment horizontal="left" vertical="center"/>
    </xf>
    <xf numFmtId="0" fontId="47" fillId="14" borderId="3" xfId="0" applyFont="1" applyFill="1" applyBorder="1" applyAlignment="1">
      <alignment horizontal="left" vertical="center" wrapText="1"/>
    </xf>
    <xf numFmtId="4" fontId="22" fillId="0" borderId="3" xfId="2" applyNumberFormat="1" applyFont="1" applyFill="1" applyBorder="1" applyAlignment="1">
      <alignment vertical="center"/>
    </xf>
    <xf numFmtId="4" fontId="22" fillId="0" borderId="3" xfId="0" applyNumberFormat="1" applyFont="1" applyFill="1" applyBorder="1" applyAlignment="1">
      <alignment vertical="center"/>
    </xf>
    <xf numFmtId="4" fontId="22" fillId="0" borderId="8" xfId="0" applyNumberFormat="1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55" fillId="0" borderId="0" xfId="0" applyFont="1"/>
    <xf numFmtId="4" fontId="22" fillId="0" borderId="4" xfId="2" applyNumberFormat="1" applyFont="1" applyFill="1" applyBorder="1" applyAlignment="1">
      <alignment vertical="center"/>
    </xf>
    <xf numFmtId="49" fontId="15" fillId="3" borderId="15" xfId="0" applyNumberFormat="1" applyFont="1" applyFill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47" fillId="14" borderId="1" xfId="0" applyFont="1" applyFill="1" applyBorder="1" applyAlignment="1">
      <alignment horizontal="left" vertical="center" wrapText="1"/>
    </xf>
    <xf numFmtId="4" fontId="22" fillId="0" borderId="1" xfId="2" applyNumberFormat="1" applyFont="1" applyFill="1" applyBorder="1" applyAlignment="1">
      <alignment vertical="center"/>
    </xf>
    <xf numFmtId="4" fontId="22" fillId="0" borderId="6" xfId="0" applyNumberFormat="1" applyFont="1" applyFill="1" applyBorder="1" applyAlignment="1">
      <alignment vertical="center"/>
    </xf>
    <xf numFmtId="0" fontId="48" fillId="0" borderId="6" xfId="0" applyFont="1" applyFill="1" applyBorder="1" applyAlignment="1">
      <alignment horizontal="left" vertical="center"/>
    </xf>
    <xf numFmtId="49" fontId="22" fillId="0" borderId="4" xfId="0" applyNumberFormat="1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left" vertical="center"/>
    </xf>
    <xf numFmtId="4" fontId="1" fillId="3" borderId="0" xfId="0" applyNumberFormat="1" applyFont="1" applyFill="1"/>
    <xf numFmtId="0" fontId="3" fillId="0" borderId="1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/>
    </xf>
    <xf numFmtId="0" fontId="54" fillId="14" borderId="4" xfId="0" applyFont="1" applyFill="1" applyBorder="1"/>
    <xf numFmtId="4" fontId="49" fillId="0" borderId="0" xfId="0" applyNumberFormat="1" applyFont="1" applyAlignment="1">
      <alignment vertical="center"/>
    </xf>
    <xf numFmtId="0" fontId="22" fillId="14" borderId="4" xfId="0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48" fillId="0" borderId="6" xfId="0" applyFont="1" applyBorder="1" applyAlignment="1">
      <alignment vertical="center"/>
    </xf>
    <xf numFmtId="0" fontId="55" fillId="0" borderId="15" xfId="0" applyFont="1" applyBorder="1"/>
    <xf numFmtId="0" fontId="47" fillId="0" borderId="6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/>
    </xf>
    <xf numFmtId="4" fontId="15" fillId="0" borderId="0" xfId="2" applyNumberFormat="1" applyFont="1" applyFill="1" applyBorder="1" applyAlignment="1">
      <alignment vertical="center"/>
    </xf>
    <xf numFmtId="4" fontId="22" fillId="0" borderId="0" xfId="0" applyNumberFormat="1" applyFont="1" applyFill="1" applyBorder="1" applyAlignment="1">
      <alignment vertical="center"/>
    </xf>
    <xf numFmtId="4" fontId="15" fillId="0" borderId="12" xfId="0" applyNumberFormat="1" applyFont="1" applyFill="1" applyBorder="1" applyAlignment="1">
      <alignment vertical="center"/>
    </xf>
    <xf numFmtId="0" fontId="55" fillId="0" borderId="0" xfId="0" applyFont="1" applyBorder="1"/>
    <xf numFmtId="0" fontId="55" fillId="0" borderId="0" xfId="0" applyFont="1" applyFill="1" applyBorder="1"/>
    <xf numFmtId="0" fontId="54" fillId="0" borderId="0" xfId="0" applyFont="1" applyBorder="1"/>
    <xf numFmtId="0" fontId="22" fillId="0" borderId="0" xfId="0" applyFont="1" applyBorder="1"/>
    <xf numFmtId="0" fontId="48" fillId="0" borderId="0" xfId="0" applyFont="1" applyBorder="1"/>
    <xf numFmtId="0" fontId="18" fillId="0" borderId="0" xfId="0" applyFont="1" applyFill="1" applyBorder="1"/>
    <xf numFmtId="0" fontId="56" fillId="0" borderId="0" xfId="0" applyFont="1" applyBorder="1"/>
    <xf numFmtId="0" fontId="57" fillId="0" borderId="0" xfId="0" applyFont="1" applyBorder="1"/>
    <xf numFmtId="4" fontId="56" fillId="0" borderId="0" xfId="0" applyNumberFormat="1" applyFont="1" applyBorder="1"/>
    <xf numFmtId="4" fontId="58" fillId="0" borderId="0" xfId="0" applyNumberFormat="1" applyFont="1" applyFill="1" applyBorder="1"/>
    <xf numFmtId="0" fontId="58" fillId="0" borderId="0" xfId="0" applyFont="1" applyFill="1" applyBorder="1"/>
    <xf numFmtId="0" fontId="22" fillId="0" borderId="0" xfId="0" applyFont="1"/>
    <xf numFmtId="0" fontId="59" fillId="0" borderId="0" xfId="0" applyFont="1"/>
    <xf numFmtId="0" fontId="19" fillId="3" borderId="0" xfId="0" applyFont="1" applyFill="1" applyBorder="1"/>
    <xf numFmtId="4" fontId="48" fillId="0" borderId="0" xfId="0" applyNumberFormat="1" applyFont="1"/>
    <xf numFmtId="0" fontId="55" fillId="0" borderId="0" xfId="0" applyFont="1" applyBorder="1" applyAlignment="1"/>
    <xf numFmtId="0" fontId="54" fillId="0" borderId="0" xfId="0" applyFont="1" applyBorder="1" applyAlignment="1"/>
    <xf numFmtId="0" fontId="22" fillId="0" borderId="0" xfId="0" applyFont="1" applyBorder="1" applyAlignment="1"/>
    <xf numFmtId="0" fontId="48" fillId="0" borderId="0" xfId="0" applyFont="1" applyBorder="1" applyAlignment="1"/>
    <xf numFmtId="4" fontId="18" fillId="0" borderId="0" xfId="0" applyNumberFormat="1" applyFont="1" applyFill="1" applyBorder="1" applyAlignment="1"/>
    <xf numFmtId="0" fontId="20" fillId="3" borderId="0" xfId="0" applyFont="1" applyFill="1" applyBorder="1"/>
    <xf numFmtId="0" fontId="7" fillId="11" borderId="0" xfId="0" applyFont="1" applyFill="1" applyBorder="1"/>
    <xf numFmtId="0" fontId="7" fillId="0" borderId="0" xfId="0" applyFont="1" applyFill="1" applyBorder="1"/>
    <xf numFmtId="0" fontId="7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0" fontId="35" fillId="0" borderId="0" xfId="0" applyFont="1" applyBorder="1"/>
    <xf numFmtId="0" fontId="2" fillId="0" borderId="0" xfId="0" applyFont="1" applyBorder="1"/>
    <xf numFmtId="4" fontId="4" fillId="0" borderId="0" xfId="0" applyNumberFormat="1" applyFont="1" applyBorder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4" fillId="3" borderId="0" xfId="0" applyFont="1" applyFill="1" applyBorder="1"/>
    <xf numFmtId="4" fontId="4" fillId="0" borderId="0" xfId="0" applyNumberFormat="1" applyFont="1"/>
    <xf numFmtId="0" fontId="7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4" fontId="5" fillId="0" borderId="0" xfId="0" applyNumberFormat="1" applyFont="1" applyAlignment="1"/>
    <xf numFmtId="4" fontId="1" fillId="0" borderId="0" xfId="0" applyNumberFormat="1" applyFont="1" applyAlignment="1"/>
    <xf numFmtId="4" fontId="8" fillId="0" borderId="0" xfId="0" applyNumberFormat="1" applyFont="1"/>
    <xf numFmtId="4" fontId="1" fillId="3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9" borderId="4" xfId="0" applyFont="1" applyFill="1" applyBorder="1" applyAlignment="1">
      <alignment horizontal="center" vertical="center" textRotation="90" wrapText="1"/>
    </xf>
    <xf numFmtId="0" fontId="32" fillId="0" borderId="4" xfId="0" applyFont="1" applyFill="1" applyBorder="1" applyAlignment="1">
      <alignment horizontal="center" vertical="center"/>
    </xf>
    <xf numFmtId="49" fontId="32" fillId="0" borderId="4" xfId="0" applyNumberFormat="1" applyFont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6" xfId="0" applyFont="1" applyFill="1" applyBorder="1" applyAlignment="1">
      <alignment vertical="center"/>
    </xf>
    <xf numFmtId="0" fontId="28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49" fontId="32" fillId="0" borderId="5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left" vertical="center"/>
    </xf>
    <xf numFmtId="49" fontId="32" fillId="0" borderId="6" xfId="0" applyNumberFormat="1" applyFont="1" applyFill="1" applyBorder="1" applyAlignment="1">
      <alignment horizontal="left" vertical="center"/>
    </xf>
    <xf numFmtId="0" fontId="27" fillId="10" borderId="5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vertical="center" wrapText="1"/>
    </xf>
    <xf numFmtId="0" fontId="27" fillId="10" borderId="6" xfId="0" applyFont="1" applyFill="1" applyBorder="1" applyAlignment="1">
      <alignment horizontal="left" vertical="center" wrapText="1"/>
    </xf>
    <xf numFmtId="0" fontId="31" fillId="10" borderId="5" xfId="0" applyFont="1" applyFill="1" applyBorder="1" applyAlignment="1">
      <alignment horizontal="left" vertical="center" wrapText="1"/>
    </xf>
    <xf numFmtId="0" fontId="31" fillId="10" borderId="1" xfId="0" applyFont="1" applyFill="1" applyBorder="1" applyAlignment="1">
      <alignment horizontal="left" vertical="center" wrapText="1"/>
    </xf>
    <xf numFmtId="0" fontId="31" fillId="10" borderId="6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31" fillId="10" borderId="7" xfId="0" applyFont="1" applyFill="1" applyBorder="1" applyAlignment="1">
      <alignment horizontal="left" vertical="center" wrapText="1"/>
    </xf>
    <xf numFmtId="0" fontId="31" fillId="10" borderId="3" xfId="0" applyFont="1" applyFill="1" applyBorder="1" applyAlignment="1">
      <alignment horizontal="left" vertical="center" wrapText="1"/>
    </xf>
    <xf numFmtId="0" fontId="31" fillId="10" borderId="8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left" vertical="center"/>
    </xf>
    <xf numFmtId="0" fontId="31" fillId="0" borderId="8" xfId="0" applyFont="1" applyFill="1" applyBorder="1" applyAlignment="1">
      <alignment horizontal="left" vertical="center"/>
    </xf>
    <xf numFmtId="0" fontId="31" fillId="10" borderId="9" xfId="0" applyFont="1" applyFill="1" applyBorder="1" applyAlignment="1">
      <alignment horizontal="left" vertical="center"/>
    </xf>
    <xf numFmtId="0" fontId="31" fillId="10" borderId="2" xfId="0" applyFont="1" applyFill="1" applyBorder="1" applyAlignment="1">
      <alignment horizontal="left" vertical="center"/>
    </xf>
    <xf numFmtId="0" fontId="31" fillId="10" borderId="10" xfId="0" applyFont="1" applyFill="1" applyBorder="1" applyAlignment="1">
      <alignment horizontal="left" vertical="center"/>
    </xf>
    <xf numFmtId="0" fontId="31" fillId="9" borderId="5" xfId="0" applyFont="1" applyFill="1" applyBorder="1" applyAlignment="1">
      <alignment horizontal="left" vertical="center" wrapText="1"/>
    </xf>
    <xf numFmtId="0" fontId="31" fillId="9" borderId="1" xfId="0" applyFont="1" applyFill="1" applyBorder="1" applyAlignment="1">
      <alignment horizontal="left" vertical="center" wrapText="1"/>
    </xf>
    <xf numFmtId="0" fontId="31" fillId="10" borderId="9" xfId="0" applyFont="1" applyFill="1" applyBorder="1" applyAlignment="1">
      <alignment horizontal="left" vertical="center" wrapText="1"/>
    </xf>
    <xf numFmtId="0" fontId="31" fillId="10" borderId="2" xfId="0" applyFont="1" applyFill="1" applyBorder="1" applyAlignment="1">
      <alignment horizontal="left" vertical="center" wrapText="1"/>
    </xf>
    <xf numFmtId="0" fontId="31" fillId="10" borderId="10" xfId="0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3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" fontId="2" fillId="13" borderId="7" xfId="0" applyNumberFormat="1" applyFont="1" applyFill="1" applyBorder="1" applyAlignment="1">
      <alignment horizontal="center" vertical="center" wrapText="1"/>
    </xf>
    <xf numFmtId="4" fontId="2" fillId="13" borderId="3" xfId="0" applyNumberFormat="1" applyFont="1" applyFill="1" applyBorder="1" applyAlignment="1">
      <alignment horizontal="center" vertical="center" wrapText="1"/>
    </xf>
    <xf numFmtId="4" fontId="2" fillId="13" borderId="8" xfId="0" applyNumberFormat="1" applyFont="1" applyFill="1" applyBorder="1" applyAlignment="1">
      <alignment horizontal="center" vertical="center" wrapText="1"/>
    </xf>
    <xf numFmtId="4" fontId="2" fillId="13" borderId="9" xfId="0" applyNumberFormat="1" applyFont="1" applyFill="1" applyBorder="1" applyAlignment="1">
      <alignment horizontal="center" vertical="center" wrapText="1"/>
    </xf>
    <xf numFmtId="4" fontId="2" fillId="13" borderId="2" xfId="0" applyNumberFormat="1" applyFont="1" applyFill="1" applyBorder="1" applyAlignment="1">
      <alignment horizontal="center" vertical="center" wrapText="1"/>
    </xf>
    <xf numFmtId="4" fontId="2" fillId="13" borderId="10" xfId="0" applyNumberFormat="1" applyFont="1" applyFill="1" applyBorder="1" applyAlignment="1">
      <alignment horizontal="center" vertical="center" wrapText="1"/>
    </xf>
    <xf numFmtId="0" fontId="27" fillId="10" borderId="4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9" fillId="0" borderId="5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29" fillId="0" borderId="6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0" fontId="31" fillId="10" borderId="5" xfId="0" applyFont="1" applyFill="1" applyBorder="1" applyAlignment="1">
      <alignment horizontal="left" vertical="center"/>
    </xf>
    <xf numFmtId="0" fontId="31" fillId="10" borderId="1" xfId="0" applyFont="1" applyFill="1" applyBorder="1" applyAlignment="1">
      <alignment horizontal="left" vertical="center"/>
    </xf>
    <xf numFmtId="0" fontId="31" fillId="10" borderId="6" xfId="0" applyFont="1" applyFill="1" applyBorder="1" applyAlignment="1">
      <alignment horizontal="left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9" borderId="10" xfId="0" applyFont="1" applyFill="1" applyBorder="1" applyAlignment="1">
      <alignment horizontal="center" vertical="center"/>
    </xf>
    <xf numFmtId="0" fontId="31" fillId="10" borderId="3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6" fillId="9" borderId="5" xfId="5" applyNumberFormat="1" applyFont="1" applyFill="1" applyBorder="1" applyAlignment="1">
      <alignment horizontal="center" vertical="center" wrapText="1"/>
    </xf>
    <xf numFmtId="49" fontId="6" fillId="9" borderId="1" xfId="5" applyNumberFormat="1" applyFont="1" applyFill="1" applyBorder="1" applyAlignment="1">
      <alignment horizontal="center" vertical="center" wrapText="1"/>
    </xf>
    <xf numFmtId="49" fontId="6" fillId="9" borderId="6" xfId="5" applyNumberFormat="1" applyFont="1" applyFill="1" applyBorder="1" applyAlignment="1">
      <alignment horizontal="center" vertical="center" wrapText="1"/>
    </xf>
    <xf numFmtId="0" fontId="11" fillId="6" borderId="13" xfId="5" applyFont="1" applyFill="1" applyBorder="1" applyAlignment="1">
      <alignment horizontal="right" vertical="center" wrapText="1"/>
    </xf>
    <xf numFmtId="0" fontId="11" fillId="6" borderId="14" xfId="5" applyFont="1" applyFill="1" applyBorder="1" applyAlignment="1">
      <alignment horizontal="right" vertical="center" wrapText="1"/>
    </xf>
    <xf numFmtId="4" fontId="11" fillId="6" borderId="13" xfId="4" applyNumberFormat="1" applyFont="1" applyFill="1" applyBorder="1" applyAlignment="1">
      <alignment horizontal="right" vertical="center" wrapText="1"/>
    </xf>
    <xf numFmtId="4" fontId="11" fillId="6" borderId="14" xfId="4" applyNumberFormat="1" applyFont="1" applyFill="1" applyBorder="1" applyAlignment="1">
      <alignment horizontal="right" vertical="center" wrapText="1"/>
    </xf>
    <xf numFmtId="0" fontId="11" fillId="6" borderId="5" xfId="5" applyFont="1" applyFill="1" applyBorder="1" applyAlignment="1">
      <alignment horizontal="center" vertical="center" wrapText="1"/>
    </xf>
    <xf numFmtId="0" fontId="11" fillId="6" borderId="6" xfId="5" applyFont="1" applyFill="1" applyBorder="1" applyAlignment="1">
      <alignment horizontal="center" vertical="center" wrapText="1"/>
    </xf>
    <xf numFmtId="0" fontId="11" fillId="6" borderId="13" xfId="5" applyFont="1" applyFill="1" applyBorder="1" applyAlignment="1">
      <alignment horizontal="center" vertical="center" wrapText="1"/>
    </xf>
    <xf numFmtId="0" fontId="11" fillId="6" borderId="14" xfId="5" applyFont="1" applyFill="1" applyBorder="1" applyAlignment="1">
      <alignment horizontal="center" vertical="center" wrapText="1"/>
    </xf>
  </cellXfs>
  <cellStyles count="6">
    <cellStyle name="Bad" xfId="1" builtinId="27"/>
    <cellStyle name="Comma" xfId="4" builtinId="3"/>
    <cellStyle name="Good" xfId="2" builtinId="26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4020"/>
  <sheetViews>
    <sheetView showGridLines="0" tabSelected="1" topLeftCell="A184" zoomScaleNormal="100" workbookViewId="0">
      <selection activeCell="I5" sqref="I5"/>
    </sheetView>
  </sheetViews>
  <sheetFormatPr defaultRowHeight="14.25" x14ac:dyDescent="0.2"/>
  <cols>
    <col min="1" max="1" width="4.140625" style="50" customWidth="1"/>
    <col min="2" max="2" width="3.28515625" style="50" bestFit="1" customWidth="1"/>
    <col min="3" max="3" width="5.42578125" style="49" bestFit="1" customWidth="1"/>
    <col min="4" max="4" width="5.42578125" style="50" customWidth="1"/>
    <col min="5" max="5" width="9.5703125" style="21" customWidth="1"/>
    <col min="6" max="6" width="6" style="793" customWidth="1"/>
    <col min="7" max="7" width="6" style="794" customWidth="1"/>
    <col min="8" max="8" width="7.85546875" style="716" customWidth="1"/>
    <col min="9" max="9" width="54.5703125" style="594" customWidth="1"/>
    <col min="10" max="10" width="18" style="342" customWidth="1"/>
    <col min="11" max="11" width="18.42578125" style="342" customWidth="1"/>
    <col min="12" max="12" width="18" style="342" customWidth="1"/>
    <col min="13" max="13" width="14" style="17" bestFit="1" customWidth="1"/>
    <col min="14" max="14" width="17.28515625" style="917" bestFit="1" customWidth="1"/>
    <col min="15" max="15" width="18" style="17" bestFit="1" customWidth="1"/>
    <col min="16" max="16" width="16.5703125" style="163" customWidth="1"/>
    <col min="17" max="17" width="9.140625" style="138" customWidth="1"/>
    <col min="18" max="18" width="13.7109375" style="138" bestFit="1" customWidth="1"/>
    <col min="19" max="5185" width="9.140625" style="138"/>
    <col min="5186" max="5204" width="9.140625" style="138" customWidth="1"/>
    <col min="5205" max="16384" width="9.140625" style="138"/>
  </cols>
  <sheetData>
    <row r="1" spans="1:16" x14ac:dyDescent="0.2">
      <c r="A1" s="1037"/>
      <c r="B1" s="198"/>
      <c r="C1" s="198"/>
      <c r="D1" s="198"/>
      <c r="E1" s="198"/>
      <c r="F1" s="198" t="s">
        <v>1067</v>
      </c>
      <c r="G1" s="198"/>
      <c r="H1" s="198"/>
      <c r="I1" s="198"/>
      <c r="J1" s="1038"/>
      <c r="K1" s="1038"/>
      <c r="L1" s="1038"/>
      <c r="M1" s="163"/>
      <c r="N1" s="163"/>
      <c r="O1" s="163"/>
    </row>
    <row r="2" spans="1:16" x14ac:dyDescent="0.2">
      <c r="A2" s="198" t="s">
        <v>1068</v>
      </c>
      <c r="B2" s="198"/>
      <c r="C2" s="198"/>
      <c r="D2" s="198"/>
      <c r="E2" s="198"/>
      <c r="F2" s="198"/>
      <c r="G2" s="198"/>
      <c r="H2" s="198"/>
      <c r="I2" s="198"/>
      <c r="J2" s="1038"/>
      <c r="K2" s="1038"/>
      <c r="L2" s="1038"/>
      <c r="M2" s="163"/>
      <c r="N2" s="163"/>
      <c r="O2" s="163"/>
    </row>
    <row r="3" spans="1:16" x14ac:dyDescent="0.2">
      <c r="A3" s="198" t="s">
        <v>1069</v>
      </c>
      <c r="B3" s="198"/>
      <c r="C3" s="198"/>
      <c r="D3" s="198"/>
      <c r="E3" s="198"/>
      <c r="F3" s="198"/>
      <c r="G3" s="198"/>
      <c r="H3" s="198"/>
      <c r="I3" s="1038"/>
      <c r="J3" s="1038"/>
      <c r="K3" s="1038"/>
      <c r="L3" s="1038"/>
      <c r="M3" s="163"/>
      <c r="N3" s="163"/>
      <c r="O3" s="163"/>
    </row>
    <row r="4" spans="1:16" x14ac:dyDescent="0.2">
      <c r="A4" s="198" t="s">
        <v>1070</v>
      </c>
      <c r="B4" s="198"/>
      <c r="C4" s="198"/>
      <c r="D4" s="198"/>
      <c r="E4" s="198"/>
      <c r="F4" s="198"/>
      <c r="G4" s="198"/>
      <c r="H4" s="198"/>
      <c r="I4" s="198"/>
      <c r="J4" s="1038"/>
      <c r="K4" s="1038"/>
      <c r="L4" s="1038"/>
      <c r="M4" s="163"/>
      <c r="N4" s="163"/>
      <c r="O4" s="163"/>
    </row>
    <row r="5" spans="1:16" x14ac:dyDescent="0.2">
      <c r="A5" s="198"/>
      <c r="B5" s="198"/>
      <c r="C5" s="198"/>
      <c r="D5" s="198"/>
      <c r="E5" s="198"/>
      <c r="F5" s="198" t="s">
        <v>1079</v>
      </c>
      <c r="G5" s="198"/>
      <c r="H5" s="198"/>
      <c r="I5" s="198"/>
      <c r="J5" s="1038"/>
      <c r="K5" s="1038"/>
      <c r="L5" s="1038"/>
      <c r="M5" s="163"/>
      <c r="N5" s="163"/>
      <c r="O5" s="163"/>
    </row>
    <row r="6" spans="1:16" x14ac:dyDescent="0.2">
      <c r="A6" s="198"/>
      <c r="B6" s="198"/>
      <c r="C6" s="198"/>
      <c r="D6" s="198"/>
      <c r="E6" s="198"/>
      <c r="F6" s="198"/>
      <c r="G6" s="198"/>
      <c r="H6" s="198"/>
      <c r="I6" s="198"/>
      <c r="J6" s="1038"/>
      <c r="K6" s="1038"/>
      <c r="L6" s="1038"/>
      <c r="M6" s="163"/>
      <c r="N6" s="163"/>
      <c r="O6" s="163"/>
    </row>
    <row r="7" spans="1:16" ht="15" x14ac:dyDescent="0.25">
      <c r="A7" s="1016"/>
      <c r="B7" s="1016"/>
      <c r="C7" s="1018"/>
      <c r="D7" s="1016"/>
      <c r="E7" s="1016"/>
      <c r="F7" s="1018"/>
      <c r="G7" s="1016"/>
      <c r="H7" s="1018"/>
      <c r="I7" s="1016"/>
      <c r="J7" s="1017"/>
      <c r="K7" s="1017"/>
      <c r="L7" s="1017"/>
      <c r="M7" s="943"/>
      <c r="N7" s="163"/>
      <c r="O7" s="163"/>
    </row>
    <row r="8" spans="1:16" ht="15" x14ac:dyDescent="0.25">
      <c r="A8" s="1016"/>
      <c r="B8" s="1016"/>
      <c r="C8" s="1018"/>
      <c r="D8" s="1016"/>
      <c r="E8" s="1016"/>
      <c r="F8" s="1019"/>
      <c r="G8" s="1016"/>
      <c r="H8" s="1019"/>
      <c r="I8" s="1020"/>
      <c r="J8" s="1021"/>
      <c r="K8" s="1021"/>
      <c r="L8" s="1021"/>
      <c r="M8" s="943"/>
      <c r="N8" s="163"/>
      <c r="O8" s="163"/>
    </row>
    <row r="9" spans="1:16" s="589" customFormat="1" ht="18" x14ac:dyDescent="0.25">
      <c r="A9" s="1022"/>
      <c r="B9" s="1022"/>
      <c r="C9" s="1022"/>
      <c r="D9" s="1022"/>
      <c r="E9" s="1023"/>
      <c r="F9" s="1019"/>
      <c r="G9" s="1023"/>
      <c r="H9" s="1022"/>
      <c r="I9" s="1024"/>
      <c r="J9" s="1025"/>
      <c r="K9" s="1025"/>
      <c r="L9" s="1026"/>
      <c r="M9" s="1027"/>
      <c r="N9" s="914"/>
      <c r="O9" s="914"/>
      <c r="P9" s="914"/>
    </row>
    <row r="10" spans="1:16" s="162" customFormat="1" ht="18.75" x14ac:dyDescent="0.3">
      <c r="A10" s="1129" t="s">
        <v>180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028"/>
      <c r="N10" s="915"/>
      <c r="O10" s="915"/>
      <c r="P10" s="915"/>
    </row>
    <row r="11" spans="1:16" s="162" customFormat="1" ht="18.75" x14ac:dyDescent="0.3">
      <c r="A11" s="1129" t="s">
        <v>1008</v>
      </c>
      <c r="B11" s="1129"/>
      <c r="C11" s="1129"/>
      <c r="D11" s="1129"/>
      <c r="E11" s="1129"/>
      <c r="F11" s="1129"/>
      <c r="G11" s="1129"/>
      <c r="H11" s="1129"/>
      <c r="I11" s="1129"/>
      <c r="J11" s="1129"/>
      <c r="K11" s="1129"/>
      <c r="L11" s="1129"/>
      <c r="M11" s="1028"/>
      <c r="N11" s="915"/>
      <c r="O11" s="915"/>
      <c r="P11" s="915"/>
    </row>
    <row r="12" spans="1:16" s="151" customFormat="1" ht="15" x14ac:dyDescent="0.25">
      <c r="A12" s="1130"/>
      <c r="B12" s="1130"/>
      <c r="C12" s="1130"/>
      <c r="D12" s="1130"/>
      <c r="E12" s="1130"/>
      <c r="F12" s="1130"/>
      <c r="G12" s="1130"/>
      <c r="H12" s="1130"/>
      <c r="I12" s="1130"/>
      <c r="J12" s="1130"/>
      <c r="K12" s="1130"/>
      <c r="L12" s="523"/>
      <c r="M12" s="815"/>
      <c r="N12" s="137"/>
      <c r="O12" s="137"/>
      <c r="P12" s="137"/>
    </row>
    <row r="13" spans="1:16" s="151" customFormat="1" ht="15" x14ac:dyDescent="0.25">
      <c r="A13" s="1039"/>
      <c r="B13" s="1039"/>
      <c r="C13" s="1040"/>
      <c r="D13" s="1039"/>
      <c r="E13" s="1039"/>
      <c r="F13" s="1041"/>
      <c r="G13" s="1039"/>
      <c r="H13" s="1041"/>
      <c r="I13" s="1042"/>
      <c r="J13" s="1043"/>
      <c r="K13" s="1043"/>
      <c r="L13" s="523"/>
      <c r="M13" s="815"/>
      <c r="N13" s="137"/>
      <c r="O13" s="137"/>
      <c r="P13" s="137"/>
    </row>
    <row r="14" spans="1:16" s="151" customFormat="1" ht="15" x14ac:dyDescent="0.25">
      <c r="A14" s="198"/>
      <c r="B14" s="198"/>
      <c r="C14" s="1044"/>
      <c r="D14" s="198"/>
      <c r="E14" s="198"/>
      <c r="F14" s="1045"/>
      <c r="G14" s="198"/>
      <c r="H14" s="1045"/>
      <c r="I14" s="1046"/>
      <c r="J14" s="143"/>
      <c r="K14" s="143"/>
      <c r="L14" s="523"/>
      <c r="M14" s="815"/>
      <c r="N14" s="137"/>
      <c r="O14" s="137"/>
      <c r="P14" s="137"/>
    </row>
    <row r="15" spans="1:16" s="151" customFormat="1" ht="15" x14ac:dyDescent="0.25">
      <c r="A15" s="1115" t="s">
        <v>214</v>
      </c>
      <c r="B15" s="1115"/>
      <c r="C15" s="1115"/>
      <c r="D15" s="1115"/>
      <c r="E15" s="1115"/>
      <c r="F15" s="1115"/>
      <c r="G15" s="1115"/>
      <c r="H15" s="1115"/>
      <c r="I15" s="1115"/>
      <c r="J15" s="1115"/>
      <c r="K15" s="1115"/>
      <c r="M15" s="815"/>
      <c r="N15" s="137"/>
      <c r="O15" s="137"/>
      <c r="P15" s="137"/>
    </row>
    <row r="16" spans="1:16" s="151" customFormat="1" ht="15" x14ac:dyDescent="0.25">
      <c r="A16" s="1047"/>
      <c r="B16" s="1047"/>
      <c r="C16" s="1047"/>
      <c r="D16" s="1047"/>
      <c r="E16" s="1047"/>
      <c r="F16" s="1048"/>
      <c r="G16" s="1047"/>
      <c r="H16" s="1047"/>
      <c r="I16" s="1047"/>
      <c r="J16" s="1047"/>
      <c r="K16" s="1047"/>
      <c r="M16" s="815"/>
      <c r="N16" s="137"/>
      <c r="O16" s="137"/>
      <c r="P16" s="137"/>
    </row>
    <row r="17" spans="1:16" s="151" customFormat="1" ht="15" x14ac:dyDescent="0.25">
      <c r="A17" s="1115" t="s">
        <v>181</v>
      </c>
      <c r="B17" s="1115"/>
      <c r="C17" s="1115"/>
      <c r="D17" s="1115"/>
      <c r="E17" s="1115"/>
      <c r="F17" s="1115"/>
      <c r="G17" s="1115"/>
      <c r="H17" s="1115"/>
      <c r="I17" s="1115"/>
      <c r="J17" s="1115"/>
      <c r="K17" s="1115"/>
      <c r="L17" s="1049"/>
      <c r="M17" s="815"/>
      <c r="N17" s="137"/>
      <c r="O17" s="137"/>
      <c r="P17" s="137"/>
    </row>
    <row r="18" spans="1:16" s="151" customFormat="1" ht="15" x14ac:dyDescent="0.25">
      <c r="A18" s="138"/>
      <c r="B18" s="138"/>
      <c r="C18" s="138"/>
      <c r="D18" s="138"/>
      <c r="E18" s="138"/>
      <c r="F18" s="163"/>
      <c r="G18" s="163"/>
      <c r="H18" s="1050"/>
      <c r="I18" s="164"/>
      <c r="J18" s="164"/>
      <c r="K18" s="140"/>
      <c r="L18" s="1049"/>
      <c r="M18" s="815"/>
      <c r="N18" s="137"/>
      <c r="O18" s="137"/>
      <c r="P18" s="137"/>
    </row>
    <row r="19" spans="1:16" s="151" customFormat="1" ht="15" x14ac:dyDescent="0.25">
      <c r="A19" s="138"/>
      <c r="B19" s="138"/>
      <c r="C19" s="138"/>
      <c r="D19" s="138" t="s">
        <v>1071</v>
      </c>
      <c r="E19" s="138"/>
      <c r="F19" s="163"/>
      <c r="G19" s="163"/>
      <c r="H19" s="1050"/>
      <c r="I19" s="164"/>
      <c r="J19" s="164"/>
      <c r="K19" s="140"/>
      <c r="L19" s="1049"/>
      <c r="M19" s="815"/>
      <c r="N19" s="137"/>
      <c r="O19" s="137"/>
      <c r="P19" s="137"/>
    </row>
    <row r="20" spans="1:16" s="151" customFormat="1" ht="15" x14ac:dyDescent="0.25">
      <c r="A20" s="138" t="s">
        <v>1072</v>
      </c>
      <c r="B20" s="138"/>
      <c r="C20" s="138"/>
      <c r="D20" s="138"/>
      <c r="E20" s="138"/>
      <c r="F20" s="163"/>
      <c r="G20" s="163"/>
      <c r="H20" s="1050"/>
      <c r="I20" s="164"/>
      <c r="J20" s="164"/>
      <c r="K20" s="140"/>
      <c r="L20" s="1049"/>
      <c r="M20" s="815"/>
      <c r="N20" s="137"/>
      <c r="O20" s="137"/>
      <c r="P20" s="137"/>
    </row>
    <row r="21" spans="1:16" s="151" customFormat="1" ht="15" x14ac:dyDescent="0.25">
      <c r="A21" s="138"/>
      <c r="B21" s="138"/>
      <c r="C21" s="138"/>
      <c r="D21" s="138"/>
      <c r="E21" s="138"/>
      <c r="F21" s="163"/>
      <c r="G21" s="163"/>
      <c r="H21" s="1050"/>
      <c r="I21" s="164"/>
      <c r="J21" s="164"/>
      <c r="K21" s="140"/>
      <c r="L21" s="1049"/>
      <c r="M21" s="815"/>
      <c r="N21" s="137"/>
      <c r="O21" s="137"/>
      <c r="P21" s="137"/>
    </row>
    <row r="22" spans="1:16" s="151" customFormat="1" ht="15" x14ac:dyDescent="0.25">
      <c r="A22" s="1115" t="s">
        <v>732</v>
      </c>
      <c r="B22" s="1115"/>
      <c r="C22" s="1115"/>
      <c r="D22" s="1115"/>
      <c r="E22" s="1115"/>
      <c r="F22" s="1115"/>
      <c r="G22" s="1115"/>
      <c r="H22" s="1115"/>
      <c r="I22" s="1115"/>
      <c r="J22" s="1115"/>
      <c r="K22" s="1115"/>
      <c r="L22" s="1049"/>
      <c r="M22" s="815"/>
      <c r="N22" s="137"/>
      <c r="O22" s="137"/>
      <c r="P22" s="137"/>
    </row>
    <row r="23" spans="1:16" s="151" customFormat="1" ht="15" x14ac:dyDescent="0.25">
      <c r="A23" s="138"/>
      <c r="B23" s="138"/>
      <c r="C23" s="138"/>
      <c r="D23" s="138"/>
      <c r="E23" s="138"/>
      <c r="F23" s="163"/>
      <c r="G23" s="163"/>
      <c r="H23" s="1050"/>
      <c r="I23" s="164"/>
      <c r="J23" s="164"/>
      <c r="K23" s="140"/>
      <c r="L23" s="1049"/>
      <c r="M23" s="815"/>
      <c r="N23" s="137"/>
      <c r="O23" s="137"/>
      <c r="P23" s="137"/>
    </row>
    <row r="24" spans="1:16" s="151" customFormat="1" ht="15" x14ac:dyDescent="0.25">
      <c r="A24" s="1051"/>
      <c r="B24" s="1051"/>
      <c r="C24" s="1051"/>
      <c r="D24" s="1051" t="s">
        <v>1009</v>
      </c>
      <c r="E24" s="1051"/>
      <c r="F24" s="1052"/>
      <c r="G24" s="1052"/>
      <c r="H24" s="1053"/>
      <c r="I24" s="1054"/>
      <c r="J24" s="1054"/>
      <c r="K24" s="140"/>
      <c r="L24" s="1049"/>
      <c r="M24" s="815"/>
      <c r="N24" s="137"/>
      <c r="O24" s="137"/>
      <c r="P24" s="137"/>
    </row>
    <row r="25" spans="1:16" s="151" customFormat="1" ht="15" x14ac:dyDescent="0.25">
      <c r="A25" s="1051" t="s">
        <v>1010</v>
      </c>
      <c r="B25" s="1051"/>
      <c r="C25" s="1051"/>
      <c r="D25" s="1051"/>
      <c r="E25" s="1051"/>
      <c r="F25" s="1055"/>
      <c r="G25" s="1052"/>
      <c r="H25" s="1053"/>
      <c r="I25" s="1054"/>
      <c r="J25" s="1054"/>
      <c r="K25" s="140"/>
      <c r="L25" s="1049"/>
      <c r="M25" s="815"/>
      <c r="N25" s="137"/>
      <c r="O25" s="137"/>
      <c r="P25" s="137"/>
    </row>
    <row r="26" spans="1:16" s="151" customFormat="1" ht="15" x14ac:dyDescent="0.25">
      <c r="A26" s="992"/>
      <c r="B26" s="992"/>
      <c r="C26" s="992"/>
      <c r="D26" s="992"/>
      <c r="E26" s="992"/>
      <c r="F26" s="943"/>
      <c r="G26" s="943"/>
      <c r="H26" s="1030"/>
      <c r="I26" s="967"/>
      <c r="J26" s="967"/>
      <c r="K26" s="68"/>
      <c r="L26" s="1029"/>
      <c r="M26" s="815"/>
      <c r="N26" s="137"/>
      <c r="O26" s="137"/>
      <c r="P26" s="137"/>
    </row>
    <row r="27" spans="1:16" s="151" customFormat="1" ht="15" x14ac:dyDescent="0.25">
      <c r="A27" s="1031"/>
      <c r="B27" s="1031"/>
      <c r="C27" s="1032"/>
      <c r="D27" s="1031"/>
      <c r="E27" s="1031"/>
      <c r="F27" s="1033"/>
      <c r="G27" s="1031"/>
      <c r="H27" s="1033"/>
      <c r="I27" s="1034"/>
      <c r="J27" s="1035"/>
      <c r="K27" s="1035"/>
      <c r="L27" s="1021"/>
      <c r="M27" s="1036"/>
      <c r="N27" s="137"/>
      <c r="O27" s="137"/>
      <c r="P27" s="137"/>
    </row>
    <row r="28" spans="1:16" s="151" customFormat="1" ht="15" x14ac:dyDescent="0.25">
      <c r="A28" s="590"/>
      <c r="B28" s="590"/>
      <c r="C28" s="429"/>
      <c r="D28" s="590"/>
      <c r="E28" s="25"/>
      <c r="F28" s="429"/>
      <c r="G28" s="24"/>
      <c r="H28" s="591"/>
      <c r="I28" s="592"/>
      <c r="J28" s="565"/>
      <c r="K28" s="565"/>
      <c r="L28" s="565"/>
      <c r="M28" s="17"/>
      <c r="N28" s="137"/>
      <c r="O28" s="137"/>
      <c r="P28" s="137"/>
    </row>
    <row r="29" spans="1:16" s="151" customFormat="1" ht="59.25" x14ac:dyDescent="0.25">
      <c r="A29" s="543"/>
      <c r="B29" s="543"/>
      <c r="C29" s="544"/>
      <c r="D29" s="545"/>
      <c r="E29" s="546"/>
      <c r="F29" s="802"/>
      <c r="G29" s="547"/>
      <c r="H29" s="548" t="s">
        <v>0</v>
      </c>
      <c r="I29" s="549" t="s">
        <v>117</v>
      </c>
      <c r="J29" s="551" t="s">
        <v>781</v>
      </c>
      <c r="K29" s="551" t="s">
        <v>694</v>
      </c>
      <c r="L29" s="552" t="s">
        <v>312</v>
      </c>
      <c r="M29" s="17"/>
      <c r="N29" s="137"/>
      <c r="O29" s="137"/>
      <c r="P29" s="137"/>
    </row>
    <row r="30" spans="1:16" s="151" customFormat="1" ht="15" x14ac:dyDescent="0.25">
      <c r="A30" s="845"/>
      <c r="B30" s="845"/>
      <c r="C30" s="842">
        <v>1</v>
      </c>
      <c r="D30" s="845"/>
      <c r="E30" s="845"/>
      <c r="F30" s="845"/>
      <c r="G30" s="480"/>
      <c r="H30" s="109">
        <v>2</v>
      </c>
      <c r="I30" s="110">
        <v>3</v>
      </c>
      <c r="J30" s="109">
        <v>4</v>
      </c>
      <c r="K30" s="109">
        <v>5</v>
      </c>
      <c r="L30" s="109">
        <v>6</v>
      </c>
      <c r="M30" s="593"/>
      <c r="N30" s="137"/>
      <c r="O30" s="137"/>
      <c r="P30" s="137"/>
    </row>
    <row r="31" spans="1:16" s="151" customFormat="1" ht="15" x14ac:dyDescent="0.25">
      <c r="A31" s="532"/>
      <c r="B31" s="533"/>
      <c r="C31" s="134">
        <v>711</v>
      </c>
      <c r="D31" s="134"/>
      <c r="E31" s="534"/>
      <c r="F31" s="134"/>
      <c r="G31" s="66"/>
      <c r="H31" s="42"/>
      <c r="I31" s="43" t="s">
        <v>118</v>
      </c>
      <c r="J31" s="326">
        <f>SUM(J32:J37)</f>
        <v>1357500000</v>
      </c>
      <c r="K31" s="326"/>
      <c r="L31" s="57">
        <f t="shared" ref="L31:L42" si="0">SUM(J31+K31)</f>
        <v>1357500000</v>
      </c>
      <c r="M31" s="194"/>
      <c r="N31" s="137"/>
      <c r="O31" s="137"/>
      <c r="P31" s="137"/>
    </row>
    <row r="32" spans="1:16" x14ac:dyDescent="0.2">
      <c r="A32" s="535"/>
      <c r="B32" s="536"/>
      <c r="C32" s="311"/>
      <c r="D32" s="535"/>
      <c r="E32" s="55"/>
      <c r="F32" s="311"/>
      <c r="G32" s="23"/>
      <c r="H32" s="313">
        <v>711110</v>
      </c>
      <c r="I32" s="44" t="s">
        <v>119</v>
      </c>
      <c r="J32" s="59">
        <v>950000000</v>
      </c>
      <c r="K32" s="59"/>
      <c r="L32" s="59">
        <f t="shared" si="0"/>
        <v>950000000</v>
      </c>
      <c r="M32" s="194"/>
    </row>
    <row r="33" spans="1:16" s="165" customFormat="1" ht="18" customHeight="1" x14ac:dyDescent="0.2">
      <c r="A33" s="535"/>
      <c r="B33" s="536"/>
      <c r="C33" s="311"/>
      <c r="D33" s="535"/>
      <c r="E33" s="55"/>
      <c r="F33" s="311"/>
      <c r="G33" s="1"/>
      <c r="H33" s="313">
        <v>711120</v>
      </c>
      <c r="I33" s="45" t="s">
        <v>120</v>
      </c>
      <c r="J33" s="59">
        <v>230000000</v>
      </c>
      <c r="K33" s="59"/>
      <c r="L33" s="59">
        <f t="shared" si="0"/>
        <v>230000000</v>
      </c>
      <c r="M33" s="194"/>
      <c r="N33" s="917"/>
      <c r="O33" s="17"/>
      <c r="P33" s="163"/>
    </row>
    <row r="34" spans="1:16" s="595" customFormat="1" x14ac:dyDescent="0.2">
      <c r="A34" s="535"/>
      <c r="B34" s="536"/>
      <c r="C34" s="311"/>
      <c r="D34" s="535"/>
      <c r="E34" s="55"/>
      <c r="F34" s="311"/>
      <c r="G34" s="1"/>
      <c r="H34" s="313">
        <v>711140</v>
      </c>
      <c r="I34" s="45" t="s">
        <v>121</v>
      </c>
      <c r="J34" s="59">
        <v>10000000</v>
      </c>
      <c r="K34" s="59"/>
      <c r="L34" s="59">
        <f t="shared" si="0"/>
        <v>10000000</v>
      </c>
      <c r="M34" s="194"/>
      <c r="N34" s="918"/>
      <c r="O34" s="593"/>
      <c r="P34" s="919"/>
    </row>
    <row r="35" spans="1:16" x14ac:dyDescent="0.2">
      <c r="A35" s="535"/>
      <c r="B35" s="536"/>
      <c r="C35" s="311"/>
      <c r="D35" s="535"/>
      <c r="E35" s="55"/>
      <c r="F35" s="311"/>
      <c r="G35" s="24"/>
      <c r="H35" s="313">
        <v>711160</v>
      </c>
      <c r="I35" s="45" t="s">
        <v>122</v>
      </c>
      <c r="J35" s="59">
        <v>1000000</v>
      </c>
      <c r="K35" s="59"/>
      <c r="L35" s="59">
        <f t="shared" si="0"/>
        <v>1000000</v>
      </c>
      <c r="M35" s="194"/>
    </row>
    <row r="36" spans="1:16" x14ac:dyDescent="0.2">
      <c r="A36" s="535"/>
      <c r="B36" s="536"/>
      <c r="C36" s="311"/>
      <c r="D36" s="535"/>
      <c r="E36" s="55"/>
      <c r="F36" s="311"/>
      <c r="G36" s="1"/>
      <c r="H36" s="446">
        <v>711180</v>
      </c>
      <c r="I36" s="46" t="s">
        <v>123</v>
      </c>
      <c r="J36" s="121">
        <v>6000000</v>
      </c>
      <c r="K36" s="121"/>
      <c r="L36" s="121">
        <f t="shared" si="0"/>
        <v>6000000</v>
      </c>
      <c r="M36" s="194"/>
    </row>
    <row r="37" spans="1:16" x14ac:dyDescent="0.2">
      <c r="A37" s="535"/>
      <c r="B37" s="536"/>
      <c r="C37" s="311"/>
      <c r="D37" s="535"/>
      <c r="E37" s="55"/>
      <c r="F37" s="311"/>
      <c r="G37" s="24"/>
      <c r="H37" s="313">
        <v>711190</v>
      </c>
      <c r="I37" s="45" t="s">
        <v>124</v>
      </c>
      <c r="J37" s="59">
        <f>150000000+10500000</f>
        <v>160500000</v>
      </c>
      <c r="K37" s="59"/>
      <c r="L37" s="59">
        <f t="shared" si="0"/>
        <v>160500000</v>
      </c>
      <c r="M37" s="194"/>
    </row>
    <row r="38" spans="1:16" x14ac:dyDescent="0.2">
      <c r="A38" s="537"/>
      <c r="B38" s="537"/>
      <c r="C38" s="134">
        <v>713</v>
      </c>
      <c r="D38" s="134"/>
      <c r="E38" s="534"/>
      <c r="F38" s="134"/>
      <c r="G38" s="66"/>
      <c r="H38" s="111"/>
      <c r="I38" s="114" t="s">
        <v>125</v>
      </c>
      <c r="J38" s="326">
        <f>SUM(J39:J42)</f>
        <v>675100000</v>
      </c>
      <c r="K38" s="326"/>
      <c r="L38" s="57">
        <f t="shared" si="0"/>
        <v>675100000</v>
      </c>
      <c r="M38" s="194"/>
    </row>
    <row r="39" spans="1:16" x14ac:dyDescent="0.2">
      <c r="A39" s="535"/>
      <c r="B39" s="536"/>
      <c r="C39" s="311"/>
      <c r="D39" s="535"/>
      <c r="E39" s="55"/>
      <c r="F39" s="311"/>
      <c r="G39" s="1"/>
      <c r="H39" s="313">
        <v>713120</v>
      </c>
      <c r="I39" s="45" t="s">
        <v>126</v>
      </c>
      <c r="J39" s="59">
        <v>480000000</v>
      </c>
      <c r="K39" s="59"/>
      <c r="L39" s="59">
        <f t="shared" si="0"/>
        <v>480000000</v>
      </c>
      <c r="M39" s="194"/>
    </row>
    <row r="40" spans="1:16" x14ac:dyDescent="0.2">
      <c r="A40" s="535"/>
      <c r="B40" s="536"/>
      <c r="C40" s="311"/>
      <c r="D40" s="535"/>
      <c r="E40" s="55"/>
      <c r="F40" s="311"/>
      <c r="G40" s="1"/>
      <c r="H40" s="313">
        <v>713310</v>
      </c>
      <c r="I40" s="45" t="s">
        <v>127</v>
      </c>
      <c r="J40" s="59">
        <v>15000000</v>
      </c>
      <c r="K40" s="59"/>
      <c r="L40" s="59">
        <f t="shared" si="0"/>
        <v>15000000</v>
      </c>
      <c r="M40" s="194"/>
    </row>
    <row r="41" spans="1:16" x14ac:dyDescent="0.2">
      <c r="A41" s="535"/>
      <c r="B41" s="536"/>
      <c r="C41" s="311"/>
      <c r="D41" s="535"/>
      <c r="E41" s="55"/>
      <c r="F41" s="311"/>
      <c r="G41" s="1"/>
      <c r="H41" s="313">
        <v>713420</v>
      </c>
      <c r="I41" s="45" t="s">
        <v>128</v>
      </c>
      <c r="J41" s="59">
        <v>180000000</v>
      </c>
      <c r="K41" s="59"/>
      <c r="L41" s="59">
        <f t="shared" si="0"/>
        <v>180000000</v>
      </c>
      <c r="M41" s="194"/>
    </row>
    <row r="42" spans="1:16" x14ac:dyDescent="0.2">
      <c r="A42" s="535"/>
      <c r="B42" s="536"/>
      <c r="C42" s="311"/>
      <c r="D42" s="535"/>
      <c r="E42" s="55"/>
      <c r="F42" s="311"/>
      <c r="G42" s="1"/>
      <c r="H42" s="313">
        <v>713610</v>
      </c>
      <c r="I42" s="45" t="s">
        <v>129</v>
      </c>
      <c r="J42" s="59">
        <v>100000</v>
      </c>
      <c r="K42" s="59"/>
      <c r="L42" s="59">
        <f t="shared" si="0"/>
        <v>100000</v>
      </c>
    </row>
    <row r="43" spans="1:16" x14ac:dyDescent="0.2">
      <c r="A43" s="537"/>
      <c r="B43" s="537"/>
      <c r="C43" s="134">
        <v>714</v>
      </c>
      <c r="D43" s="134"/>
      <c r="E43" s="534"/>
      <c r="F43" s="134"/>
      <c r="G43" s="66"/>
      <c r="H43" s="111"/>
      <c r="I43" s="114" t="s">
        <v>130</v>
      </c>
      <c r="J43" s="326">
        <f>SUM(J44:J50)</f>
        <v>187150000</v>
      </c>
      <c r="K43" s="326"/>
      <c r="L43" s="57">
        <f t="shared" ref="L43:L63" si="1">SUM(J43:K43)</f>
        <v>187150000</v>
      </c>
      <c r="M43" s="194"/>
    </row>
    <row r="44" spans="1:16" ht="22.5" x14ac:dyDescent="0.2">
      <c r="A44" s="538"/>
      <c r="B44" s="538"/>
      <c r="C44" s="441"/>
      <c r="D44" s="441"/>
      <c r="E44" s="254"/>
      <c r="F44" s="441"/>
      <c r="G44" s="20"/>
      <c r="H44" s="340">
        <v>714420</v>
      </c>
      <c r="I44" s="228" t="s">
        <v>713</v>
      </c>
      <c r="J44" s="59">
        <v>150000</v>
      </c>
      <c r="K44" s="60"/>
      <c r="L44" s="59">
        <f t="shared" si="1"/>
        <v>150000</v>
      </c>
      <c r="M44" s="194"/>
    </row>
    <row r="45" spans="1:16" x14ac:dyDescent="0.2">
      <c r="A45" s="536"/>
      <c r="B45" s="536"/>
      <c r="C45" s="311"/>
      <c r="D45" s="311"/>
      <c r="E45" s="55"/>
      <c r="F45" s="311"/>
      <c r="G45" s="1"/>
      <c r="H45" s="313">
        <v>714430</v>
      </c>
      <c r="I45" s="45" t="s">
        <v>131</v>
      </c>
      <c r="J45" s="59">
        <v>5000000</v>
      </c>
      <c r="K45" s="59"/>
      <c r="L45" s="59">
        <f t="shared" si="1"/>
        <v>5000000</v>
      </c>
    </row>
    <row r="46" spans="1:16" x14ac:dyDescent="0.2">
      <c r="A46" s="535"/>
      <c r="B46" s="536"/>
      <c r="C46" s="311"/>
      <c r="D46" s="535"/>
      <c r="E46" s="55"/>
      <c r="F46" s="311"/>
      <c r="G46" s="1"/>
      <c r="H46" s="313">
        <v>714510</v>
      </c>
      <c r="I46" s="44" t="s">
        <v>132</v>
      </c>
      <c r="J46" s="59">
        <v>90000000</v>
      </c>
      <c r="K46" s="59"/>
      <c r="L46" s="59">
        <f t="shared" si="1"/>
        <v>90000000</v>
      </c>
    </row>
    <row r="47" spans="1:16" x14ac:dyDescent="0.2">
      <c r="A47" s="535"/>
      <c r="B47" s="536"/>
      <c r="C47" s="311"/>
      <c r="D47" s="535"/>
      <c r="E47" s="55"/>
      <c r="F47" s="311"/>
      <c r="G47" s="1"/>
      <c r="H47" s="313">
        <v>714540</v>
      </c>
      <c r="I47" s="44" t="s">
        <v>133</v>
      </c>
      <c r="J47" s="59">
        <v>10000000</v>
      </c>
      <c r="K47" s="59"/>
      <c r="L47" s="59">
        <f t="shared" si="1"/>
        <v>10000000</v>
      </c>
    </row>
    <row r="48" spans="1:16" x14ac:dyDescent="0.2">
      <c r="A48" s="535"/>
      <c r="B48" s="536"/>
      <c r="C48" s="311"/>
      <c r="D48" s="535"/>
      <c r="E48" s="55"/>
      <c r="F48" s="311"/>
      <c r="G48" s="1"/>
      <c r="H48" s="313">
        <v>714550</v>
      </c>
      <c r="I48" s="44" t="s">
        <v>134</v>
      </c>
      <c r="J48" s="59">
        <v>1000000</v>
      </c>
      <c r="K48" s="59"/>
      <c r="L48" s="59">
        <f t="shared" si="1"/>
        <v>1000000</v>
      </c>
    </row>
    <row r="49" spans="1:13" x14ac:dyDescent="0.2">
      <c r="A49" s="535"/>
      <c r="B49" s="536"/>
      <c r="C49" s="311"/>
      <c r="D49" s="535"/>
      <c r="E49" s="55"/>
      <c r="F49" s="311"/>
      <c r="G49" s="1"/>
      <c r="H49" s="313">
        <v>714560</v>
      </c>
      <c r="I49" s="44" t="s">
        <v>135</v>
      </c>
      <c r="J49" s="59">
        <v>80000000</v>
      </c>
      <c r="K49" s="59"/>
      <c r="L49" s="59">
        <f t="shared" si="1"/>
        <v>80000000</v>
      </c>
    </row>
    <row r="50" spans="1:13" x14ac:dyDescent="0.2">
      <c r="A50" s="535"/>
      <c r="B50" s="536"/>
      <c r="C50" s="311"/>
      <c r="D50" s="535"/>
      <c r="E50" s="55"/>
      <c r="F50" s="311"/>
      <c r="G50" s="1"/>
      <c r="H50" s="313">
        <v>714570</v>
      </c>
      <c r="I50" s="44" t="s">
        <v>136</v>
      </c>
      <c r="J50" s="59">
        <v>1000000</v>
      </c>
      <c r="K50" s="59"/>
      <c r="L50" s="59">
        <f t="shared" si="1"/>
        <v>1000000</v>
      </c>
    </row>
    <row r="51" spans="1:13" x14ac:dyDescent="0.2">
      <c r="A51" s="537"/>
      <c r="B51" s="537"/>
      <c r="C51" s="134">
        <v>716</v>
      </c>
      <c r="D51" s="134"/>
      <c r="E51" s="534"/>
      <c r="F51" s="134"/>
      <c r="G51" s="66"/>
      <c r="H51" s="111"/>
      <c r="I51" s="43" t="s">
        <v>137</v>
      </c>
      <c r="J51" s="326">
        <f>SUM(J52)</f>
        <v>90000000</v>
      </c>
      <c r="K51" s="326"/>
      <c r="L51" s="57">
        <f t="shared" si="1"/>
        <v>90000000</v>
      </c>
      <c r="M51" s="194"/>
    </row>
    <row r="52" spans="1:13" x14ac:dyDescent="0.2">
      <c r="A52" s="535"/>
      <c r="B52" s="536"/>
      <c r="C52" s="311"/>
      <c r="D52" s="535"/>
      <c r="E52" s="55"/>
      <c r="F52" s="311"/>
      <c r="G52" s="29"/>
      <c r="H52" s="313">
        <v>716110</v>
      </c>
      <c r="I52" s="44" t="s">
        <v>138</v>
      </c>
      <c r="J52" s="59">
        <v>90000000</v>
      </c>
      <c r="K52" s="59"/>
      <c r="L52" s="59">
        <f t="shared" si="1"/>
        <v>90000000</v>
      </c>
    </row>
    <row r="53" spans="1:13" x14ac:dyDescent="0.2">
      <c r="A53" s="539"/>
      <c r="B53" s="537"/>
      <c r="C53" s="134">
        <v>732</v>
      </c>
      <c r="D53" s="134"/>
      <c r="E53" s="534"/>
      <c r="F53" s="134"/>
      <c r="G53" s="66"/>
      <c r="H53" s="111"/>
      <c r="I53" s="43" t="s">
        <v>139</v>
      </c>
      <c r="J53" s="326">
        <f>SUM(J54:J55)</f>
        <v>42484886.32</v>
      </c>
      <c r="K53" s="326"/>
      <c r="L53" s="57">
        <f t="shared" si="1"/>
        <v>42484886.32</v>
      </c>
      <c r="M53" s="194"/>
    </row>
    <row r="54" spans="1:13" x14ac:dyDescent="0.2">
      <c r="A54" s="535"/>
      <c r="B54" s="536"/>
      <c r="C54" s="311"/>
      <c r="D54" s="535"/>
      <c r="E54" s="55"/>
      <c r="F54" s="311"/>
      <c r="G54" s="1"/>
      <c r="H54" s="313">
        <v>732150</v>
      </c>
      <c r="I54" s="44" t="s">
        <v>140</v>
      </c>
      <c r="J54" s="59">
        <f>2824886.32+2900000</f>
        <v>5724886.3200000003</v>
      </c>
      <c r="K54" s="59"/>
      <c r="L54" s="59">
        <f t="shared" si="1"/>
        <v>5724886.3200000003</v>
      </c>
    </row>
    <row r="55" spans="1:13" x14ac:dyDescent="0.2">
      <c r="A55" s="535"/>
      <c r="B55" s="536"/>
      <c r="C55" s="311"/>
      <c r="D55" s="535"/>
      <c r="E55" s="55"/>
      <c r="F55" s="311"/>
      <c r="G55" s="1"/>
      <c r="H55" s="313">
        <v>732250</v>
      </c>
      <c r="I55" s="44" t="s">
        <v>141</v>
      </c>
      <c r="J55" s="59">
        <v>36760000</v>
      </c>
      <c r="K55" s="59"/>
      <c r="L55" s="59">
        <f>SUM(J55:K55)</f>
        <v>36760000</v>
      </c>
    </row>
    <row r="56" spans="1:13" x14ac:dyDescent="0.2">
      <c r="A56" s="537"/>
      <c r="B56" s="537"/>
      <c r="C56" s="134">
        <v>733</v>
      </c>
      <c r="D56" s="134"/>
      <c r="E56" s="534"/>
      <c r="F56" s="134"/>
      <c r="G56" s="66"/>
      <c r="H56" s="111"/>
      <c r="I56" s="43" t="s">
        <v>142</v>
      </c>
      <c r="J56" s="326">
        <f>SUM(J57:J58)</f>
        <v>1355698164.8</v>
      </c>
      <c r="K56" s="326">
        <f>SUM(K57:K58)</f>
        <v>2500000</v>
      </c>
      <c r="L56" s="57">
        <f t="shared" si="1"/>
        <v>1358198164.8</v>
      </c>
      <c r="M56" s="194"/>
    </row>
    <row r="57" spans="1:13" x14ac:dyDescent="0.2">
      <c r="A57" s="535"/>
      <c r="B57" s="536"/>
      <c r="C57" s="311"/>
      <c r="D57" s="535"/>
      <c r="E57" s="55"/>
      <c r="F57" s="311"/>
      <c r="G57" s="1"/>
      <c r="H57" s="313">
        <v>733150</v>
      </c>
      <c r="I57" s="44" t="s">
        <v>409</v>
      </c>
      <c r="J57" s="59">
        <v>516069750</v>
      </c>
      <c r="K57" s="59">
        <v>2500000</v>
      </c>
      <c r="L57" s="59">
        <f t="shared" si="1"/>
        <v>518569750</v>
      </c>
    </row>
    <row r="58" spans="1:13" x14ac:dyDescent="0.2">
      <c r="A58" s="535"/>
      <c r="B58" s="536"/>
      <c r="C58" s="311"/>
      <c r="D58" s="535"/>
      <c r="E58" s="55"/>
      <c r="F58" s="311"/>
      <c r="G58" s="1"/>
      <c r="H58" s="313">
        <v>733250</v>
      </c>
      <c r="I58" s="44" t="s">
        <v>313</v>
      </c>
      <c r="J58" s="913">
        <f>925068364.8-120000000+27060050+7500000</f>
        <v>839628414.79999995</v>
      </c>
      <c r="K58" s="214"/>
      <c r="L58" s="59">
        <f t="shared" si="1"/>
        <v>839628414.79999995</v>
      </c>
    </row>
    <row r="59" spans="1:13" x14ac:dyDescent="0.2">
      <c r="A59" s="537"/>
      <c r="B59" s="537"/>
      <c r="C59" s="134">
        <v>741</v>
      </c>
      <c r="D59" s="134"/>
      <c r="E59" s="534"/>
      <c r="F59" s="134" t="s">
        <v>143</v>
      </c>
      <c r="G59" s="66"/>
      <c r="H59" s="111"/>
      <c r="I59" s="43" t="s">
        <v>144</v>
      </c>
      <c r="J59" s="326">
        <f>SUM(J60:J63)</f>
        <v>441150000</v>
      </c>
      <c r="K59" s="215"/>
      <c r="L59" s="57">
        <f t="shared" si="1"/>
        <v>441150000</v>
      </c>
      <c r="M59" s="194"/>
    </row>
    <row r="60" spans="1:13" x14ac:dyDescent="0.2">
      <c r="A60" s="536"/>
      <c r="B60" s="536"/>
      <c r="C60" s="311"/>
      <c r="D60" s="311"/>
      <c r="E60" s="55"/>
      <c r="F60" s="311"/>
      <c r="G60" s="1"/>
      <c r="H60" s="313">
        <v>741150</v>
      </c>
      <c r="I60" s="44" t="s">
        <v>145</v>
      </c>
      <c r="J60" s="59">
        <v>150000</v>
      </c>
      <c r="K60" s="214"/>
      <c r="L60" s="59">
        <f t="shared" si="1"/>
        <v>150000</v>
      </c>
    </row>
    <row r="61" spans="1:13" x14ac:dyDescent="0.2">
      <c r="A61" s="536"/>
      <c r="B61" s="536"/>
      <c r="C61" s="311"/>
      <c r="D61" s="311"/>
      <c r="E61" s="55"/>
      <c r="F61" s="311"/>
      <c r="G61" s="1"/>
      <c r="H61" s="313">
        <v>741510</v>
      </c>
      <c r="I61" s="44" t="s">
        <v>714</v>
      </c>
      <c r="J61" s="59">
        <v>1000000</v>
      </c>
      <c r="K61" s="214"/>
      <c r="L61" s="59">
        <f t="shared" si="1"/>
        <v>1000000</v>
      </c>
    </row>
    <row r="62" spans="1:13" x14ac:dyDescent="0.2">
      <c r="A62" s="535"/>
      <c r="B62" s="536"/>
      <c r="C62" s="311"/>
      <c r="D62" s="535"/>
      <c r="E62" s="55"/>
      <c r="F62" s="311"/>
      <c r="G62" s="1"/>
      <c r="H62" s="313">
        <v>741520</v>
      </c>
      <c r="I62" s="44" t="s">
        <v>146</v>
      </c>
      <c r="J62" s="59">
        <v>220000000</v>
      </c>
      <c r="K62" s="214"/>
      <c r="L62" s="59">
        <f t="shared" si="1"/>
        <v>220000000</v>
      </c>
    </row>
    <row r="63" spans="1:13" x14ac:dyDescent="0.2">
      <c r="A63" s="535"/>
      <c r="B63" s="536"/>
      <c r="C63" s="311"/>
      <c r="D63" s="535"/>
      <c r="E63" s="55"/>
      <c r="F63" s="311"/>
      <c r="G63" s="1"/>
      <c r="H63" s="313">
        <v>741530</v>
      </c>
      <c r="I63" s="44" t="s">
        <v>147</v>
      </c>
      <c r="J63" s="59">
        <v>220000000</v>
      </c>
      <c r="K63" s="59"/>
      <c r="L63" s="59">
        <f t="shared" si="1"/>
        <v>220000000</v>
      </c>
    </row>
    <row r="64" spans="1:13" x14ac:dyDescent="0.2">
      <c r="A64" s="537"/>
      <c r="B64" s="537"/>
      <c r="C64" s="134">
        <v>742</v>
      </c>
      <c r="D64" s="134"/>
      <c r="E64" s="534"/>
      <c r="F64" s="134"/>
      <c r="G64" s="66"/>
      <c r="H64" s="111"/>
      <c r="I64" s="43" t="s">
        <v>148</v>
      </c>
      <c r="J64" s="326">
        <f>SUM(J65:J69)</f>
        <v>306600000</v>
      </c>
      <c r="K64" s="326">
        <f>SUM(K66:K69)</f>
        <v>8866800</v>
      </c>
      <c r="L64" s="57">
        <f>SUM(J64:K64)</f>
        <v>315466800</v>
      </c>
      <c r="M64" s="194"/>
    </row>
    <row r="65" spans="1:16" ht="22.5" x14ac:dyDescent="0.2">
      <c r="A65" s="538"/>
      <c r="B65" s="538"/>
      <c r="C65" s="441"/>
      <c r="D65" s="441"/>
      <c r="E65" s="254"/>
      <c r="F65" s="441"/>
      <c r="G65" s="20"/>
      <c r="H65" s="340">
        <v>742120</v>
      </c>
      <c r="I65" s="119" t="s">
        <v>625</v>
      </c>
      <c r="J65" s="59">
        <v>11500000</v>
      </c>
      <c r="K65" s="60"/>
      <c r="L65" s="59">
        <f>SUM(J65:K65)</f>
        <v>11500000</v>
      </c>
      <c r="M65" s="390"/>
    </row>
    <row r="66" spans="1:16" ht="22.5" x14ac:dyDescent="0.2">
      <c r="A66" s="536"/>
      <c r="B66" s="536"/>
      <c r="C66" s="311"/>
      <c r="D66" s="311"/>
      <c r="E66" s="55"/>
      <c r="F66" s="311"/>
      <c r="G66" s="1"/>
      <c r="H66" s="313">
        <v>742150</v>
      </c>
      <c r="I66" s="13" t="s">
        <v>659</v>
      </c>
      <c r="J66" s="59">
        <v>95000000</v>
      </c>
      <c r="K66" s="59">
        <f>6216800+1150000</f>
        <v>7366800</v>
      </c>
      <c r="L66" s="59">
        <f t="shared" ref="L66:L79" si="2">SUM(J66:K66)</f>
        <v>102366800</v>
      </c>
    </row>
    <row r="67" spans="1:16" x14ac:dyDescent="0.2">
      <c r="A67" s="535"/>
      <c r="B67" s="536"/>
      <c r="C67" s="311"/>
      <c r="D67" s="535"/>
      <c r="E67" s="55"/>
      <c r="F67" s="311"/>
      <c r="G67" s="1"/>
      <c r="H67" s="313">
        <v>742250</v>
      </c>
      <c r="I67" s="44" t="s">
        <v>149</v>
      </c>
      <c r="J67" s="59">
        <v>200000000</v>
      </c>
      <c r="K67" s="59"/>
      <c r="L67" s="59">
        <f t="shared" si="2"/>
        <v>200000000</v>
      </c>
    </row>
    <row r="68" spans="1:16" ht="22.5" x14ac:dyDescent="0.2">
      <c r="A68" s="535"/>
      <c r="B68" s="536"/>
      <c r="C68" s="311"/>
      <c r="D68" s="535"/>
      <c r="E68" s="55"/>
      <c r="F68" s="311"/>
      <c r="G68" s="1"/>
      <c r="H68" s="313">
        <v>742350</v>
      </c>
      <c r="I68" s="13" t="s">
        <v>314</v>
      </c>
      <c r="J68" s="59">
        <v>100000</v>
      </c>
      <c r="K68" s="59"/>
      <c r="L68" s="59">
        <f t="shared" si="2"/>
        <v>100000</v>
      </c>
    </row>
    <row r="69" spans="1:16" s="191" customFormat="1" ht="22.5" x14ac:dyDescent="0.2">
      <c r="A69" s="535"/>
      <c r="B69" s="536"/>
      <c r="C69" s="311"/>
      <c r="D69" s="535"/>
      <c r="E69" s="55"/>
      <c r="F69" s="311"/>
      <c r="G69" s="1"/>
      <c r="H69" s="313">
        <v>742370</v>
      </c>
      <c r="I69" s="13" t="s">
        <v>388</v>
      </c>
      <c r="J69" s="59"/>
      <c r="K69" s="59">
        <v>1500000</v>
      </c>
      <c r="L69" s="59">
        <f t="shared" si="2"/>
        <v>1500000</v>
      </c>
      <c r="M69" s="17"/>
      <c r="N69" s="920"/>
      <c r="O69" s="189"/>
      <c r="P69" s="166"/>
    </row>
    <row r="70" spans="1:16" ht="15" customHeight="1" x14ac:dyDescent="0.2">
      <c r="A70" s="537"/>
      <c r="B70" s="537"/>
      <c r="C70" s="134">
        <v>743</v>
      </c>
      <c r="D70" s="134"/>
      <c r="E70" s="534"/>
      <c r="F70" s="134"/>
      <c r="G70" s="66"/>
      <c r="H70" s="111"/>
      <c r="I70" s="43" t="s">
        <v>150</v>
      </c>
      <c r="J70" s="326">
        <f>SUM(J71:J73)</f>
        <v>17950000</v>
      </c>
      <c r="K70" s="326"/>
      <c r="L70" s="57">
        <f t="shared" si="2"/>
        <v>17950000</v>
      </c>
      <c r="M70" s="194"/>
    </row>
    <row r="71" spans="1:16" x14ac:dyDescent="0.2">
      <c r="A71" s="536"/>
      <c r="B71" s="536"/>
      <c r="C71" s="311"/>
      <c r="D71" s="311"/>
      <c r="E71" s="55"/>
      <c r="F71" s="311"/>
      <c r="G71" s="1"/>
      <c r="H71" s="313">
        <v>743320</v>
      </c>
      <c r="I71" s="44" t="s">
        <v>315</v>
      </c>
      <c r="J71" s="59">
        <v>10000000</v>
      </c>
      <c r="K71" s="59"/>
      <c r="L71" s="59">
        <f t="shared" si="2"/>
        <v>10000000</v>
      </c>
    </row>
    <row r="72" spans="1:16" x14ac:dyDescent="0.2">
      <c r="A72" s="535"/>
      <c r="B72" s="536"/>
      <c r="C72" s="311"/>
      <c r="D72" s="535"/>
      <c r="E72" s="55"/>
      <c r="F72" s="311"/>
      <c r="G72" s="1"/>
      <c r="H72" s="313">
        <v>743350</v>
      </c>
      <c r="I72" s="44" t="s">
        <v>151</v>
      </c>
      <c r="J72" s="59">
        <v>6450000</v>
      </c>
      <c r="K72" s="59"/>
      <c r="L72" s="59">
        <f t="shared" si="2"/>
        <v>6450000</v>
      </c>
    </row>
    <row r="73" spans="1:16" ht="22.5" x14ac:dyDescent="0.2">
      <c r="A73" s="535"/>
      <c r="B73" s="536"/>
      <c r="C73" s="311"/>
      <c r="D73" s="535"/>
      <c r="E73" s="55"/>
      <c r="F73" s="311"/>
      <c r="G73" s="1"/>
      <c r="H73" s="313">
        <v>743920</v>
      </c>
      <c r="I73" s="13" t="s">
        <v>422</v>
      </c>
      <c r="J73" s="59">
        <v>1500000</v>
      </c>
      <c r="K73" s="59"/>
      <c r="L73" s="59">
        <f t="shared" si="2"/>
        <v>1500000</v>
      </c>
    </row>
    <row r="74" spans="1:16" x14ac:dyDescent="0.2">
      <c r="A74" s="539"/>
      <c r="B74" s="537"/>
      <c r="C74" s="134">
        <v>744</v>
      </c>
      <c r="D74" s="539"/>
      <c r="E74" s="534"/>
      <c r="F74" s="134"/>
      <c r="G74" s="66"/>
      <c r="H74" s="111"/>
      <c r="I74" s="43" t="s">
        <v>389</v>
      </c>
      <c r="J74" s="326"/>
      <c r="K74" s="326">
        <f>SUM(K75)</f>
        <v>500000</v>
      </c>
      <c r="L74" s="57">
        <f t="shared" si="2"/>
        <v>500000</v>
      </c>
      <c r="M74" s="194"/>
    </row>
    <row r="75" spans="1:16" ht="22.5" x14ac:dyDescent="0.2">
      <c r="A75" s="535"/>
      <c r="B75" s="536"/>
      <c r="C75" s="311"/>
      <c r="D75" s="535"/>
      <c r="E75" s="55"/>
      <c r="F75" s="311"/>
      <c r="G75" s="1"/>
      <c r="H75" s="446">
        <v>744150</v>
      </c>
      <c r="I75" s="120" t="s">
        <v>390</v>
      </c>
      <c r="J75" s="121"/>
      <c r="K75" s="121">
        <v>500000</v>
      </c>
      <c r="L75" s="121">
        <f t="shared" si="2"/>
        <v>500000</v>
      </c>
    </row>
    <row r="76" spans="1:16" x14ac:dyDescent="0.2">
      <c r="A76" s="537"/>
      <c r="B76" s="537"/>
      <c r="C76" s="134">
        <v>745</v>
      </c>
      <c r="D76" s="134"/>
      <c r="E76" s="534"/>
      <c r="F76" s="134"/>
      <c r="G76" s="66"/>
      <c r="H76" s="111"/>
      <c r="I76" s="43" t="s">
        <v>152</v>
      </c>
      <c r="J76" s="326">
        <f>SUM(J77)</f>
        <v>71340597.780000001</v>
      </c>
      <c r="K76" s="326">
        <f>SUM(K77)</f>
        <v>381250</v>
      </c>
      <c r="L76" s="57">
        <f t="shared" si="2"/>
        <v>71721847.780000001</v>
      </c>
      <c r="M76" s="194"/>
    </row>
    <row r="77" spans="1:16" x14ac:dyDescent="0.2">
      <c r="A77" s="535"/>
      <c r="B77" s="536"/>
      <c r="C77" s="311"/>
      <c r="D77" s="535"/>
      <c r="E77" s="55"/>
      <c r="F77" s="311"/>
      <c r="G77" s="1"/>
      <c r="H77" s="446">
        <v>745150</v>
      </c>
      <c r="I77" s="122" t="s">
        <v>316</v>
      </c>
      <c r="J77" s="121">
        <f>50605597.78+735000+20000000</f>
        <v>71340597.780000001</v>
      </c>
      <c r="K77" s="121">
        <f>282000+100000-750</f>
        <v>381250</v>
      </c>
      <c r="L77" s="121">
        <f t="shared" si="2"/>
        <v>71721847.780000001</v>
      </c>
    </row>
    <row r="78" spans="1:16" x14ac:dyDescent="0.2">
      <c r="A78" s="539"/>
      <c r="B78" s="537"/>
      <c r="C78" s="134">
        <v>771</v>
      </c>
      <c r="D78" s="539"/>
      <c r="E78" s="534"/>
      <c r="F78" s="134"/>
      <c r="G78" s="66"/>
      <c r="H78" s="111"/>
      <c r="I78" s="43" t="s">
        <v>386</v>
      </c>
      <c r="J78" s="326"/>
      <c r="K78" s="326">
        <f>SUM(K79)</f>
        <v>9500000</v>
      </c>
      <c r="L78" s="57">
        <f t="shared" si="2"/>
        <v>9500000</v>
      </c>
      <c r="M78" s="194"/>
    </row>
    <row r="79" spans="1:16" x14ac:dyDescent="0.2">
      <c r="A79" s="535"/>
      <c r="B79" s="536"/>
      <c r="C79" s="311"/>
      <c r="D79" s="535"/>
      <c r="E79" s="55"/>
      <c r="F79" s="311"/>
      <c r="G79" s="29"/>
      <c r="H79" s="313">
        <v>771110</v>
      </c>
      <c r="I79" s="45" t="s">
        <v>387</v>
      </c>
      <c r="J79" s="59"/>
      <c r="K79" s="59">
        <v>9500000</v>
      </c>
      <c r="L79" s="59">
        <f t="shared" si="2"/>
        <v>9500000</v>
      </c>
      <c r="M79" s="27"/>
    </row>
    <row r="80" spans="1:16" x14ac:dyDescent="0.2">
      <c r="A80" s="539"/>
      <c r="B80" s="537"/>
      <c r="C80" s="134">
        <v>811</v>
      </c>
      <c r="D80" s="539"/>
      <c r="E80" s="534"/>
      <c r="F80" s="134"/>
      <c r="G80" s="66"/>
      <c r="H80" s="111"/>
      <c r="I80" s="43" t="s">
        <v>681</v>
      </c>
      <c r="J80" s="326">
        <f>SUM(J81)</f>
        <v>3400000</v>
      </c>
      <c r="K80" s="326"/>
      <c r="L80" s="57">
        <f>SUM(J80:K80)</f>
        <v>3400000</v>
      </c>
      <c r="M80" s="194"/>
    </row>
    <row r="81" spans="1:16" x14ac:dyDescent="0.2">
      <c r="A81" s="535"/>
      <c r="B81" s="536"/>
      <c r="C81" s="311"/>
      <c r="D81" s="535"/>
      <c r="E81" s="55"/>
      <c r="F81" s="311"/>
      <c r="G81" s="29"/>
      <c r="H81" s="313">
        <v>811150</v>
      </c>
      <c r="I81" s="45" t="s">
        <v>680</v>
      </c>
      <c r="J81" s="59">
        <v>3400000</v>
      </c>
      <c r="K81" s="59"/>
      <c r="L81" s="59">
        <f>SUM(J81:K81)</f>
        <v>3400000</v>
      </c>
      <c r="M81" s="27"/>
    </row>
    <row r="82" spans="1:16" x14ac:dyDescent="0.2">
      <c r="A82" s="535"/>
      <c r="B82" s="536"/>
      <c r="C82" s="311">
        <v>812</v>
      </c>
      <c r="D82" s="535"/>
      <c r="E82" s="55"/>
      <c r="F82" s="311"/>
      <c r="G82" s="29"/>
      <c r="H82" s="447"/>
      <c r="I82" s="43" t="s">
        <v>692</v>
      </c>
      <c r="J82" s="60">
        <f>SUM(J83)</f>
        <v>1000000</v>
      </c>
      <c r="K82" s="59"/>
      <c r="L82" s="60">
        <f>SUM(J82:K82)</f>
        <v>1000000</v>
      </c>
      <c r="M82" s="194"/>
    </row>
    <row r="83" spans="1:16" x14ac:dyDescent="0.2">
      <c r="A83" s="535"/>
      <c r="B83" s="536"/>
      <c r="C83" s="311"/>
      <c r="D83" s="535"/>
      <c r="E83" s="55"/>
      <c r="F83" s="311"/>
      <c r="G83" s="29"/>
      <c r="H83" s="447">
        <v>812150</v>
      </c>
      <c r="I83" s="45" t="s">
        <v>693</v>
      </c>
      <c r="J83" s="59">
        <v>1000000</v>
      </c>
      <c r="K83" s="59"/>
      <c r="L83" s="59">
        <f>SUM(J83:K83)</f>
        <v>1000000</v>
      </c>
      <c r="M83" s="27"/>
    </row>
    <row r="84" spans="1:16" x14ac:dyDescent="0.2">
      <c r="A84" s="539"/>
      <c r="B84" s="537"/>
      <c r="C84" s="134">
        <v>823</v>
      </c>
      <c r="D84" s="539"/>
      <c r="E84" s="534"/>
      <c r="F84" s="134"/>
      <c r="G84" s="66"/>
      <c r="H84" s="111"/>
      <c r="I84" s="114" t="s">
        <v>391</v>
      </c>
      <c r="J84" s="326"/>
      <c r="K84" s="326">
        <f>SUM(K85)</f>
        <v>4950000</v>
      </c>
      <c r="L84" s="57">
        <f t="shared" ref="L84:L87" si="3">SUM(J84:K84)</f>
        <v>4950000</v>
      </c>
      <c r="M84" s="194"/>
    </row>
    <row r="85" spans="1:16" x14ac:dyDescent="0.2">
      <c r="A85" s="535"/>
      <c r="B85" s="536"/>
      <c r="C85" s="311"/>
      <c r="D85" s="535"/>
      <c r="E85" s="55"/>
      <c r="F85" s="311"/>
      <c r="G85" s="1"/>
      <c r="H85" s="52">
        <v>823150</v>
      </c>
      <c r="I85" s="123" t="s">
        <v>392</v>
      </c>
      <c r="J85" s="124"/>
      <c r="K85" s="124">
        <v>4950000</v>
      </c>
      <c r="L85" s="124">
        <f t="shared" si="3"/>
        <v>4950000</v>
      </c>
    </row>
    <row r="86" spans="1:16" x14ac:dyDescent="0.2">
      <c r="A86" s="539"/>
      <c r="B86" s="537"/>
      <c r="C86" s="134">
        <v>841</v>
      </c>
      <c r="D86" s="134"/>
      <c r="E86" s="534"/>
      <c r="F86" s="134"/>
      <c r="G86" s="66"/>
      <c r="H86" s="111"/>
      <c r="I86" s="114" t="s">
        <v>153</v>
      </c>
      <c r="J86" s="326">
        <f>SUM(J87)</f>
        <v>758000000</v>
      </c>
      <c r="K86" s="326"/>
      <c r="L86" s="57">
        <f t="shared" si="3"/>
        <v>758000000</v>
      </c>
      <c r="M86" s="194"/>
    </row>
    <row r="87" spans="1:16" x14ac:dyDescent="0.2">
      <c r="A87" s="535"/>
      <c r="B87" s="536"/>
      <c r="C87" s="311"/>
      <c r="D87" s="535"/>
      <c r="E87" s="55"/>
      <c r="F87" s="311"/>
      <c r="G87" s="51"/>
      <c r="H87" s="313">
        <v>841150</v>
      </c>
      <c r="I87" s="45" t="s">
        <v>178</v>
      </c>
      <c r="J87" s="59">
        <v>758000000</v>
      </c>
      <c r="K87" s="59"/>
      <c r="L87" s="59">
        <f t="shared" si="3"/>
        <v>758000000</v>
      </c>
    </row>
    <row r="88" spans="1:16" x14ac:dyDescent="0.2">
      <c r="A88" s="539"/>
      <c r="B88" s="537"/>
      <c r="C88" s="134">
        <v>911</v>
      </c>
      <c r="D88" s="539"/>
      <c r="E88" s="534"/>
      <c r="F88" s="134"/>
      <c r="G88" s="125"/>
      <c r="H88" s="111"/>
      <c r="I88" s="114" t="s">
        <v>676</v>
      </c>
      <c r="J88" s="326">
        <f>SUM(J89)</f>
        <v>588126351.10000002</v>
      </c>
      <c r="K88" s="76"/>
      <c r="L88" s="57">
        <f>SUM(J88:K88)</f>
        <v>588126351.10000002</v>
      </c>
      <c r="M88" s="194"/>
    </row>
    <row r="89" spans="1:16" ht="22.5" x14ac:dyDescent="0.2">
      <c r="A89" s="535"/>
      <c r="B89" s="536"/>
      <c r="C89" s="311"/>
      <c r="D89" s="535"/>
      <c r="E89" s="55"/>
      <c r="F89" s="311"/>
      <c r="G89" s="29"/>
      <c r="H89" s="313">
        <v>911450</v>
      </c>
      <c r="I89" s="12" t="s">
        <v>675</v>
      </c>
      <c r="J89" s="913">
        <f>468126351.1+120000000</f>
        <v>588126351.10000002</v>
      </c>
      <c r="K89" s="59"/>
      <c r="L89" s="59">
        <f>SUM(J89:K89)</f>
        <v>588126351.10000002</v>
      </c>
      <c r="N89" s="920"/>
    </row>
    <row r="90" spans="1:16" x14ac:dyDescent="0.2">
      <c r="A90" s="535"/>
      <c r="B90" s="536"/>
      <c r="C90" s="311"/>
      <c r="D90" s="535"/>
      <c r="E90" s="55"/>
      <c r="F90" s="311"/>
      <c r="G90" s="1"/>
      <c r="H90" s="448"/>
      <c r="I90" s="126"/>
      <c r="J90" s="127"/>
      <c r="K90" s="127"/>
      <c r="L90" s="127"/>
    </row>
    <row r="91" spans="1:16" ht="15" customHeight="1" x14ac:dyDescent="0.2">
      <c r="A91" s="540"/>
      <c r="B91" s="540"/>
      <c r="C91" s="541"/>
      <c r="D91" s="540"/>
      <c r="E91" s="542"/>
      <c r="F91" s="541"/>
      <c r="G91" s="423"/>
      <c r="H91" s="128"/>
      <c r="I91" s="129" t="s">
        <v>154</v>
      </c>
      <c r="J91" s="553">
        <f>SUM(J31+J38+J43+J51+J53+J56+J59+J64+J70+J76+J86+J78+J74+J84+J88+J80+J82)</f>
        <v>5895500000</v>
      </c>
      <c r="K91" s="553">
        <f>SUM(K31+K38+K43+K51+K53+K56+K59+K64+K70+K76+K86+K78+K74+K84+K88+K80)</f>
        <v>26698050</v>
      </c>
      <c r="L91" s="554">
        <f>SUM(J91:K91)</f>
        <v>5922198050</v>
      </c>
      <c r="M91" s="30"/>
    </row>
    <row r="92" spans="1:16" x14ac:dyDescent="0.2">
      <c r="A92" s="505"/>
      <c r="B92" s="505"/>
      <c r="C92" s="436"/>
      <c r="D92" s="505"/>
      <c r="E92" s="19"/>
      <c r="F92" s="116"/>
      <c r="G92" s="20"/>
      <c r="H92" s="115"/>
      <c r="I92" s="18"/>
      <c r="J92" s="366"/>
      <c r="K92" s="522"/>
      <c r="L92" s="522"/>
      <c r="M92" s="31"/>
    </row>
    <row r="93" spans="1:16" s="198" customFormat="1" x14ac:dyDescent="0.2">
      <c r="A93" s="596"/>
      <c r="B93" s="596"/>
      <c r="C93" s="597"/>
      <c r="D93" s="596"/>
      <c r="E93" s="598"/>
      <c r="F93" s="116"/>
      <c r="G93" s="20"/>
      <c r="H93" s="115"/>
      <c r="I93" s="18"/>
      <c r="J93" s="31"/>
      <c r="K93" s="250"/>
      <c r="L93" s="250"/>
      <c r="M93" s="31"/>
      <c r="N93" s="502"/>
      <c r="O93" s="27"/>
      <c r="P93" s="921"/>
    </row>
    <row r="94" spans="1:16" ht="105" x14ac:dyDescent="0.2">
      <c r="A94" s="525"/>
      <c r="B94" s="525"/>
      <c r="C94" s="526"/>
      <c r="D94" s="525"/>
      <c r="E94" s="481"/>
      <c r="F94" s="208"/>
      <c r="G94" s="424"/>
      <c r="H94" s="130" t="s">
        <v>0</v>
      </c>
      <c r="I94" s="131" t="s">
        <v>1</v>
      </c>
      <c r="J94" s="555" t="s">
        <v>156</v>
      </c>
      <c r="K94" s="556" t="s">
        <v>281</v>
      </c>
      <c r="L94" s="557" t="s">
        <v>157</v>
      </c>
    </row>
    <row r="95" spans="1:16" x14ac:dyDescent="0.2">
      <c r="A95" s="527"/>
      <c r="B95" s="527"/>
      <c r="C95" s="528"/>
      <c r="D95" s="527"/>
      <c r="E95" s="482"/>
      <c r="F95" s="524"/>
      <c r="G95" s="425"/>
      <c r="H95" s="132">
        <v>1</v>
      </c>
      <c r="I95" s="133">
        <v>2</v>
      </c>
      <c r="J95" s="341">
        <v>3</v>
      </c>
      <c r="K95" s="341">
        <v>4</v>
      </c>
      <c r="L95" s="341">
        <v>5</v>
      </c>
      <c r="M95" s="593"/>
    </row>
    <row r="96" spans="1:16" s="437" customFormat="1" ht="15" x14ac:dyDescent="0.25">
      <c r="A96" s="504"/>
      <c r="B96" s="506"/>
      <c r="C96" s="49"/>
      <c r="D96" s="504"/>
      <c r="E96" s="21"/>
      <c r="F96" s="22"/>
      <c r="G96" s="1"/>
      <c r="H96" s="134">
        <v>41</v>
      </c>
      <c r="I96" s="135" t="s">
        <v>158</v>
      </c>
      <c r="J96" s="60">
        <f>SUM(J97:J102)</f>
        <v>343275392.62</v>
      </c>
      <c r="K96" s="60">
        <f>SUM(K97:K102)</f>
        <v>12137250</v>
      </c>
      <c r="L96" s="60">
        <f>SUM(J96:K96)</f>
        <v>355412642.62</v>
      </c>
      <c r="M96" s="194"/>
      <c r="N96" s="922"/>
      <c r="O96" s="203"/>
      <c r="P96" s="923"/>
    </row>
    <row r="97" spans="1:16" x14ac:dyDescent="0.2">
      <c r="A97" s="504"/>
      <c r="B97" s="506"/>
      <c r="D97" s="504"/>
      <c r="F97" s="22"/>
      <c r="G97" s="1"/>
      <c r="H97" s="311">
        <v>411</v>
      </c>
      <c r="I97" s="45" t="s">
        <v>2</v>
      </c>
      <c r="J97" s="59">
        <f>SUMIF($H$234:$H$2294,411,(J$234:J$2294))</f>
        <v>252043792.62</v>
      </c>
      <c r="K97" s="59">
        <f>SUMIF($H$454:$H$2233,411,(K$454:K$2237))</f>
        <v>100085</v>
      </c>
      <c r="L97" s="59">
        <f>SUM(J97:K97)</f>
        <v>252143877.62</v>
      </c>
      <c r="N97" s="17"/>
    </row>
    <row r="98" spans="1:16" s="165" customFormat="1" ht="12" x14ac:dyDescent="0.2">
      <c r="A98" s="504"/>
      <c r="B98" s="506"/>
      <c r="C98" s="49"/>
      <c r="D98" s="504"/>
      <c r="E98" s="21"/>
      <c r="F98" s="22"/>
      <c r="G98" s="1"/>
      <c r="H98" s="311">
        <v>412</v>
      </c>
      <c r="I98" s="44" t="s">
        <v>3</v>
      </c>
      <c r="J98" s="59">
        <f>SUMIF($H$234:$H$2294,412,(J$234:J$2294))</f>
        <v>43230000</v>
      </c>
      <c r="K98" s="59">
        <f>SUMIF($H$454:$H$2233,412,(K$454:K$2237))</f>
        <v>17165</v>
      </c>
      <c r="L98" s="59">
        <f t="shared" ref="L98:L102" si="4">SUM(J98:K98)</f>
        <v>43247165</v>
      </c>
      <c r="M98" s="17"/>
      <c r="N98" s="17"/>
      <c r="O98" s="17"/>
      <c r="P98" s="163"/>
    </row>
    <row r="99" spans="1:16" s="595" customFormat="1" x14ac:dyDescent="0.2">
      <c r="A99" s="504"/>
      <c r="B99" s="506"/>
      <c r="C99" s="49"/>
      <c r="D99" s="504"/>
      <c r="E99" s="21"/>
      <c r="F99" s="22"/>
      <c r="G99" s="1"/>
      <c r="H99" s="311">
        <v>413</v>
      </c>
      <c r="I99" s="44" t="s">
        <v>159</v>
      </c>
      <c r="J99" s="59">
        <f>SUMIF($H$234:$H$2294,413,(J$234:J$2294))</f>
        <v>4820000</v>
      </c>
      <c r="K99" s="59">
        <f>SUMIF($H$454:$H$2233,413,(K$454:K$2237))</f>
        <v>20000</v>
      </c>
      <c r="L99" s="59">
        <f t="shared" si="4"/>
        <v>4840000</v>
      </c>
      <c r="M99" s="17"/>
      <c r="N99" s="918"/>
      <c r="O99" s="593"/>
      <c r="P99" s="919"/>
    </row>
    <row r="100" spans="1:16" x14ac:dyDescent="0.2">
      <c r="A100" s="504"/>
      <c r="B100" s="506"/>
      <c r="D100" s="504"/>
      <c r="F100" s="22"/>
      <c r="G100" s="1"/>
      <c r="H100" s="311">
        <v>414</v>
      </c>
      <c r="I100" s="44" t="s">
        <v>4</v>
      </c>
      <c r="J100" s="59">
        <f>SUMIF($H$234:$H$2294,414,(J$234:J$2294))</f>
        <v>12436200</v>
      </c>
      <c r="K100" s="59">
        <f>SUMIF($H$454:$H$2233,414,(K$454:K$2237))</f>
        <v>12000000</v>
      </c>
      <c r="L100" s="59">
        <f t="shared" si="4"/>
        <v>24436200</v>
      </c>
    </row>
    <row r="101" spans="1:16" x14ac:dyDescent="0.2">
      <c r="A101" s="504"/>
      <c r="B101" s="506"/>
      <c r="D101" s="504"/>
      <c r="F101" s="22"/>
      <c r="G101" s="1"/>
      <c r="H101" s="311">
        <v>415</v>
      </c>
      <c r="I101" s="44" t="s">
        <v>5</v>
      </c>
      <c r="J101" s="59">
        <f>SUMIF($H$234:$H$2294,415,(J$234:J$2294))</f>
        <v>11704400</v>
      </c>
      <c r="K101" s="59">
        <f>SUMIF($H$454:$H$2233,415,(K$454:K$2237))</f>
        <v>0</v>
      </c>
      <c r="L101" s="59">
        <f t="shared" si="4"/>
        <v>11704400</v>
      </c>
    </row>
    <row r="102" spans="1:16" x14ac:dyDescent="0.2">
      <c r="A102" s="504"/>
      <c r="B102" s="506"/>
      <c r="D102" s="504"/>
      <c r="F102" s="22"/>
      <c r="G102" s="1"/>
      <c r="H102" s="311">
        <v>416</v>
      </c>
      <c r="I102" s="44" t="s">
        <v>6</v>
      </c>
      <c r="J102" s="59">
        <f>SUMIF($H$234:$H$2294,416,(J$234:J$2294))</f>
        <v>19041000</v>
      </c>
      <c r="K102" s="59">
        <f>SUMIF($H$454:$H$2233,416,(K$454:K$2237))</f>
        <v>0</v>
      </c>
      <c r="L102" s="59">
        <f t="shared" si="4"/>
        <v>19041000</v>
      </c>
    </row>
    <row r="103" spans="1:16" x14ac:dyDescent="0.2">
      <c r="A103" s="504"/>
      <c r="B103" s="506"/>
      <c r="D103" s="504"/>
      <c r="F103" s="22"/>
      <c r="G103" s="1"/>
      <c r="H103" s="134">
        <v>42</v>
      </c>
      <c r="I103" s="135" t="s">
        <v>160</v>
      </c>
      <c r="J103" s="60">
        <f>SUM(J104:J109)</f>
        <v>1250096336.1999998</v>
      </c>
      <c r="K103" s="60">
        <f t="shared" ref="K103" si="5">SUM(K104:K109)</f>
        <v>11387000</v>
      </c>
      <c r="L103" s="60">
        <f>SUM(J103:K103)</f>
        <v>1261483336.1999998</v>
      </c>
      <c r="M103" s="194"/>
    </row>
    <row r="104" spans="1:16" x14ac:dyDescent="0.2">
      <c r="A104" s="504"/>
      <c r="B104" s="506"/>
      <c r="D104" s="504"/>
      <c r="F104" s="22"/>
      <c r="G104" s="1"/>
      <c r="H104" s="311">
        <v>421</v>
      </c>
      <c r="I104" s="44" t="s">
        <v>7</v>
      </c>
      <c r="J104" s="59">
        <f>SUMIF($H$234:$H$2294,421,(J$234:J$2294))</f>
        <v>153987111.40000001</v>
      </c>
      <c r="K104" s="59">
        <f>SUMIF($H$454:$H$2233,421,(K$454:K$2237))</f>
        <v>1012000</v>
      </c>
      <c r="L104" s="59">
        <f>SUM(J104:K104)</f>
        <v>154999111.40000001</v>
      </c>
    </row>
    <row r="105" spans="1:16" x14ac:dyDescent="0.2">
      <c r="A105" s="504"/>
      <c r="B105" s="506"/>
      <c r="D105" s="504"/>
      <c r="F105" s="22"/>
      <c r="G105" s="1"/>
      <c r="H105" s="311">
        <v>422</v>
      </c>
      <c r="I105" s="44" t="s">
        <v>8</v>
      </c>
      <c r="J105" s="59">
        <f>SUMIF($H$234:$H$2294,422,(J$234:J$2294))</f>
        <v>7834000</v>
      </c>
      <c r="K105" s="59">
        <f>SUMIF($H$454:$H$2233,422,(K$454:K$2237))</f>
        <v>320000</v>
      </c>
      <c r="L105" s="59">
        <f t="shared" ref="L105:L109" si="6">SUM(J105:K105)</f>
        <v>8154000</v>
      </c>
    </row>
    <row r="106" spans="1:16" x14ac:dyDescent="0.2">
      <c r="A106" s="504"/>
      <c r="B106" s="506"/>
      <c r="D106" s="504"/>
      <c r="F106" s="22"/>
      <c r="G106" s="1"/>
      <c r="H106" s="311">
        <v>423</v>
      </c>
      <c r="I106" s="44" t="s">
        <v>9</v>
      </c>
      <c r="J106" s="59">
        <f>SUMIF($H$234:$H$2294,423,(J$234:J$2294))</f>
        <v>214529578</v>
      </c>
      <c r="K106" s="59">
        <f>SUMIF($H$454:$H$2233,423,(K$454:K$2237))</f>
        <v>1180000</v>
      </c>
      <c r="L106" s="59">
        <f t="shared" si="6"/>
        <v>215709578</v>
      </c>
    </row>
    <row r="107" spans="1:16" x14ac:dyDescent="0.2">
      <c r="A107" s="504"/>
      <c r="B107" s="506"/>
      <c r="D107" s="504"/>
      <c r="F107" s="22"/>
      <c r="G107" s="1"/>
      <c r="H107" s="311">
        <v>424</v>
      </c>
      <c r="I107" s="44" t="s">
        <v>10</v>
      </c>
      <c r="J107" s="59">
        <f>SUMIF($H$234:$H$2294,424,(J$234:J$2294))</f>
        <v>731710213.79999995</v>
      </c>
      <c r="K107" s="59">
        <f>SUMIF($H$454:$H$2233,424,(K$454:K$2237))</f>
        <v>7690000</v>
      </c>
      <c r="L107" s="59">
        <f t="shared" si="6"/>
        <v>739400213.79999995</v>
      </c>
    </row>
    <row r="108" spans="1:16" x14ac:dyDescent="0.2">
      <c r="A108" s="504"/>
      <c r="B108" s="506"/>
      <c r="D108" s="504"/>
      <c r="F108" s="22"/>
      <c r="G108" s="1"/>
      <c r="H108" s="311">
        <v>425</v>
      </c>
      <c r="I108" s="44" t="s">
        <v>11</v>
      </c>
      <c r="J108" s="59">
        <f>SUMIF($H$234:$H$2294,425,(J$234:J$2294))</f>
        <v>47692233</v>
      </c>
      <c r="K108" s="59">
        <f>SUMIF($H$454:$H$2233,425,(K$454:K$2237))</f>
        <v>80000</v>
      </c>
      <c r="L108" s="59">
        <f t="shared" si="6"/>
        <v>47772233</v>
      </c>
    </row>
    <row r="109" spans="1:16" x14ac:dyDescent="0.2">
      <c r="A109" s="504"/>
      <c r="B109" s="506"/>
      <c r="D109" s="504"/>
      <c r="F109" s="22"/>
      <c r="G109" s="1"/>
      <c r="H109" s="311">
        <v>426</v>
      </c>
      <c r="I109" s="44" t="s">
        <v>161</v>
      </c>
      <c r="J109" s="59">
        <f>SUMIF($H$234:$H$2294,426,(J$234:J$2294))</f>
        <v>94343200</v>
      </c>
      <c r="K109" s="59">
        <f>SUMIF($H$454:$H$2233,426,(K$454:K$2237))</f>
        <v>1105000</v>
      </c>
      <c r="L109" s="59">
        <f t="shared" si="6"/>
        <v>95448200</v>
      </c>
    </row>
    <row r="110" spans="1:16" x14ac:dyDescent="0.2">
      <c r="A110" s="504"/>
      <c r="B110" s="506"/>
      <c r="D110" s="504"/>
      <c r="F110" s="22"/>
      <c r="G110" s="1"/>
      <c r="H110" s="134">
        <v>43</v>
      </c>
      <c r="I110" s="135" t="s">
        <v>162</v>
      </c>
      <c r="J110" s="60">
        <f>SUM(J111)</f>
        <v>200000</v>
      </c>
      <c r="K110" s="60">
        <f t="shared" ref="K110" si="7">SUM(K111)</f>
        <v>150000</v>
      </c>
      <c r="L110" s="60">
        <f t="shared" ref="L110:L119" si="8">SUM(J110:K110)</f>
        <v>350000</v>
      </c>
      <c r="M110" s="194"/>
    </row>
    <row r="111" spans="1:16" x14ac:dyDescent="0.2">
      <c r="A111" s="504"/>
      <c r="B111" s="506"/>
      <c r="D111" s="504"/>
      <c r="F111" s="22"/>
      <c r="G111" s="1"/>
      <c r="H111" s="311">
        <v>431</v>
      </c>
      <c r="I111" s="44" t="s">
        <v>12</v>
      </c>
      <c r="J111" s="59">
        <f>SUMIF($H$234:$H$2294,431,(J$234:J$2294))</f>
        <v>200000</v>
      </c>
      <c r="K111" s="59">
        <f>SUMIF($H$454:$H$2233,431,(K$454:K$2237))</f>
        <v>150000</v>
      </c>
      <c r="L111" s="59">
        <f t="shared" si="8"/>
        <v>350000</v>
      </c>
    </row>
    <row r="112" spans="1:16" x14ac:dyDescent="0.2">
      <c r="A112" s="504"/>
      <c r="B112" s="506"/>
      <c r="D112" s="504"/>
      <c r="F112" s="22"/>
      <c r="G112" s="1"/>
      <c r="H112" s="134">
        <v>44</v>
      </c>
      <c r="I112" s="135" t="s">
        <v>163</v>
      </c>
      <c r="J112" s="60">
        <f>SUM(J113:J114)</f>
        <v>9772000</v>
      </c>
      <c r="K112" s="60">
        <f>SUM(K113:K114)</f>
        <v>0</v>
      </c>
      <c r="L112" s="60">
        <f t="shared" si="8"/>
        <v>9772000</v>
      </c>
      <c r="M112" s="194"/>
    </row>
    <row r="113" spans="1:13" x14ac:dyDescent="0.2">
      <c r="A113" s="504"/>
      <c r="B113" s="506"/>
      <c r="D113" s="504"/>
      <c r="F113" s="22"/>
      <c r="G113" s="1"/>
      <c r="H113" s="311">
        <v>441</v>
      </c>
      <c r="I113" s="44" t="s">
        <v>13</v>
      </c>
      <c r="J113" s="59">
        <f>SUMIF($H$234:$H$2294,441,(J$234:J$2294))</f>
        <v>8771000</v>
      </c>
      <c r="K113" s="59">
        <f>SUMIF($H$454:$H$2233,441,(K$454:K$2237))</f>
        <v>0</v>
      </c>
      <c r="L113" s="59">
        <f t="shared" si="8"/>
        <v>8771000</v>
      </c>
    </row>
    <row r="114" spans="1:13" x14ac:dyDescent="0.2">
      <c r="A114" s="504"/>
      <c r="B114" s="506"/>
      <c r="D114" s="504"/>
      <c r="F114" s="22"/>
      <c r="G114" s="1"/>
      <c r="H114" s="311">
        <v>444</v>
      </c>
      <c r="I114" s="44" t="s">
        <v>14</v>
      </c>
      <c r="J114" s="59">
        <f>SUMIF($H$234:$H$2294,444,(J$234:J$2294))</f>
        <v>1001000</v>
      </c>
      <c r="K114" s="59">
        <f>SUMIF($H$454:$H$2233,444,(K$454:K$2237))</f>
        <v>0</v>
      </c>
      <c r="L114" s="59">
        <f t="shared" si="8"/>
        <v>1001000</v>
      </c>
    </row>
    <row r="115" spans="1:13" x14ac:dyDescent="0.2">
      <c r="A115" s="504"/>
      <c r="B115" s="506"/>
      <c r="D115" s="504"/>
      <c r="F115" s="22"/>
      <c r="G115" s="1"/>
      <c r="H115" s="134">
        <v>45</v>
      </c>
      <c r="I115" s="135" t="s">
        <v>164</v>
      </c>
      <c r="J115" s="60">
        <f>SUM(J116:J117)</f>
        <v>308188028</v>
      </c>
      <c r="K115" s="60">
        <f>SUM(K116:K117)</f>
        <v>0</v>
      </c>
      <c r="L115" s="60">
        <f t="shared" si="8"/>
        <v>308188028</v>
      </c>
      <c r="M115" s="194"/>
    </row>
    <row r="116" spans="1:13" x14ac:dyDescent="0.2">
      <c r="A116" s="504"/>
      <c r="B116" s="506"/>
      <c r="D116" s="504"/>
      <c r="F116" s="22"/>
      <c r="G116" s="1"/>
      <c r="H116" s="311">
        <v>451</v>
      </c>
      <c r="I116" s="44" t="s">
        <v>165</v>
      </c>
      <c r="J116" s="59">
        <f>SUMIF($H$234:$H$2294,451,(J$234:J$2294))</f>
        <v>285318028</v>
      </c>
      <c r="K116" s="59">
        <f>SUMIF($H$454:$H$2233,451,(K$454:K$2237))</f>
        <v>0</v>
      </c>
      <c r="L116" s="59">
        <f t="shared" si="8"/>
        <v>285318028</v>
      </c>
    </row>
    <row r="117" spans="1:13" x14ac:dyDescent="0.2">
      <c r="A117" s="504"/>
      <c r="B117" s="506"/>
      <c r="D117" s="504"/>
      <c r="F117" s="22"/>
      <c r="G117" s="1"/>
      <c r="H117" s="311">
        <v>454</v>
      </c>
      <c r="I117" s="44" t="s">
        <v>15</v>
      </c>
      <c r="J117" s="59">
        <f>SUMIF($H$234:$H$2294,454,(J$234:J$2294))</f>
        <v>22870000</v>
      </c>
      <c r="K117" s="59">
        <f>SUMIF($H$454:$H$2233,454,(K$454:K$2237))</f>
        <v>0</v>
      </c>
      <c r="L117" s="59">
        <f t="shared" si="8"/>
        <v>22870000</v>
      </c>
    </row>
    <row r="118" spans="1:13" x14ac:dyDescent="0.2">
      <c r="A118" s="504"/>
      <c r="B118" s="506"/>
      <c r="D118" s="504"/>
      <c r="F118" s="22"/>
      <c r="G118" s="1"/>
      <c r="H118" s="134">
        <v>46</v>
      </c>
      <c r="I118" s="135" t="s">
        <v>166</v>
      </c>
      <c r="J118" s="60">
        <f>SUM(J119:J121)</f>
        <v>437551401.05000001</v>
      </c>
      <c r="K118" s="60">
        <f>SUM(K119:K121)</f>
        <v>11800</v>
      </c>
      <c r="L118" s="60">
        <f t="shared" si="8"/>
        <v>437563201.05000001</v>
      </c>
      <c r="M118" s="194"/>
    </row>
    <row r="119" spans="1:13" x14ac:dyDescent="0.2">
      <c r="A119" s="504"/>
      <c r="B119" s="506"/>
      <c r="D119" s="504"/>
      <c r="F119" s="22"/>
      <c r="G119" s="1"/>
      <c r="H119" s="311">
        <v>463</v>
      </c>
      <c r="I119" s="44" t="s">
        <v>16</v>
      </c>
      <c r="J119" s="59">
        <f>SUMIF($H$234:$H$2294,463,(J$234:J$2294))</f>
        <v>268822651.05000001</v>
      </c>
      <c r="K119" s="59">
        <f>SUMIF($H$454:$H$2233,463,(K$454:K$2237))</f>
        <v>0</v>
      </c>
      <c r="L119" s="59">
        <f t="shared" si="8"/>
        <v>268822651.05000001</v>
      </c>
    </row>
    <row r="120" spans="1:13" x14ac:dyDescent="0.2">
      <c r="A120" s="504"/>
      <c r="B120" s="506"/>
      <c r="D120" s="504"/>
      <c r="F120" s="22"/>
      <c r="G120" s="1"/>
      <c r="H120" s="311">
        <v>464</v>
      </c>
      <c r="I120" s="44" t="s">
        <v>322</v>
      </c>
      <c r="J120" s="59">
        <f>SUMIF($H$234:$H$2294,464,(J$234:J$2294))</f>
        <v>139000000</v>
      </c>
      <c r="K120" s="59">
        <f>SUMIF($H$454:$H$2233,464,(K$454:K$2237))</f>
        <v>0</v>
      </c>
      <c r="L120" s="59">
        <f t="shared" ref="L120:L121" si="9">SUM(J120:K120)</f>
        <v>139000000</v>
      </c>
    </row>
    <row r="121" spans="1:13" x14ac:dyDescent="0.2">
      <c r="A121" s="504"/>
      <c r="B121" s="506"/>
      <c r="D121" s="504"/>
      <c r="F121" s="22"/>
      <c r="G121" s="1"/>
      <c r="H121" s="311">
        <v>465</v>
      </c>
      <c r="I121" s="45" t="s">
        <v>167</v>
      </c>
      <c r="J121" s="59">
        <f>SUMIF($H$234:$H$2294,465,(J$234:J$2294))</f>
        <v>29728750</v>
      </c>
      <c r="K121" s="59">
        <f>SUMIF($H$454:$H$2233,465,(K$454:K$2237))</f>
        <v>11800</v>
      </c>
      <c r="L121" s="59">
        <f t="shared" si="9"/>
        <v>29740550</v>
      </c>
    </row>
    <row r="122" spans="1:13" x14ac:dyDescent="0.2">
      <c r="A122" s="504"/>
      <c r="B122" s="506"/>
      <c r="D122" s="504"/>
      <c r="F122" s="22"/>
      <c r="G122" s="1"/>
      <c r="H122" s="134">
        <v>47</v>
      </c>
      <c r="I122" s="135" t="s">
        <v>168</v>
      </c>
      <c r="J122" s="60">
        <f>SUM(J123)</f>
        <v>382740000</v>
      </c>
      <c r="K122" s="60">
        <f>SUM(K123)</f>
        <v>0</v>
      </c>
      <c r="L122" s="60">
        <f>SUM(J122:K122)</f>
        <v>382740000</v>
      </c>
      <c r="M122" s="194"/>
    </row>
    <row r="123" spans="1:13" x14ac:dyDescent="0.2">
      <c r="A123" s="504"/>
      <c r="B123" s="506"/>
      <c r="D123" s="504"/>
      <c r="F123" s="22"/>
      <c r="G123" s="1"/>
      <c r="H123" s="311">
        <v>472</v>
      </c>
      <c r="I123" s="44" t="s">
        <v>169</v>
      </c>
      <c r="J123" s="59">
        <f>SUMIF($H$234:$H$2294,472,(J$234:J$2294))</f>
        <v>382740000</v>
      </c>
      <c r="K123" s="59">
        <f>SUMIF($H$454:$H$2233,472,(K$454:K$2237))</f>
        <v>0</v>
      </c>
      <c r="L123" s="59">
        <f>SUM(J123:K123)</f>
        <v>382740000</v>
      </c>
    </row>
    <row r="124" spans="1:13" x14ac:dyDescent="0.2">
      <c r="A124" s="504"/>
      <c r="B124" s="506"/>
      <c r="D124" s="504"/>
      <c r="F124" s="22"/>
      <c r="G124" s="1"/>
      <c r="H124" s="134">
        <v>48</v>
      </c>
      <c r="I124" s="135" t="s">
        <v>170</v>
      </c>
      <c r="J124" s="60">
        <f>SUM(J125:J128)</f>
        <v>334276200</v>
      </c>
      <c r="K124" s="60">
        <f>SUM(K125:K128)</f>
        <v>42000</v>
      </c>
      <c r="L124" s="60">
        <f>SUM(J124:K124)</f>
        <v>334318200</v>
      </c>
      <c r="M124" s="194"/>
    </row>
    <row r="125" spans="1:13" x14ac:dyDescent="0.2">
      <c r="A125" s="504"/>
      <c r="B125" s="506"/>
      <c r="D125" s="504"/>
      <c r="F125" s="22"/>
      <c r="G125" s="1"/>
      <c r="H125" s="311">
        <v>481</v>
      </c>
      <c r="I125" s="44" t="s">
        <v>171</v>
      </c>
      <c r="J125" s="59">
        <f>SUMIF($H$234:$H$2294,481,(J$234:J$2294))</f>
        <v>189845000</v>
      </c>
      <c r="K125" s="59">
        <f>SUMIF($H$454:$H$2233,481,(K$454:K$2237))</f>
        <v>0</v>
      </c>
      <c r="L125" s="59">
        <f>SUM(J125:K125)</f>
        <v>189845000</v>
      </c>
    </row>
    <row r="126" spans="1:13" x14ac:dyDescent="0.2">
      <c r="A126" s="504"/>
      <c r="B126" s="506"/>
      <c r="D126" s="504"/>
      <c r="F126" s="22"/>
      <c r="G126" s="1"/>
      <c r="H126" s="311">
        <v>482</v>
      </c>
      <c r="I126" s="44" t="s">
        <v>17</v>
      </c>
      <c r="J126" s="59">
        <f>SUMIF($H$234:$H$2294,482,(J$234:J$2294))</f>
        <v>20288200</v>
      </c>
      <c r="K126" s="59">
        <f>SUMIF($H$454:$H$2233,482,(K$454:K$2237))</f>
        <v>42000</v>
      </c>
      <c r="L126" s="59">
        <f t="shared" ref="L126:L128" si="10">SUM(J126:K126)</f>
        <v>20330200</v>
      </c>
    </row>
    <row r="127" spans="1:13" x14ac:dyDescent="0.2">
      <c r="A127" s="504"/>
      <c r="B127" s="506"/>
      <c r="D127" s="504"/>
      <c r="F127" s="22"/>
      <c r="G127" s="1"/>
      <c r="H127" s="311">
        <v>483</v>
      </c>
      <c r="I127" s="44" t="s">
        <v>18</v>
      </c>
      <c r="J127" s="59">
        <f>SUMIF($H$234:$H$2294,483,(J$234:J$2294))</f>
        <v>104143000</v>
      </c>
      <c r="K127" s="59">
        <f>SUMIF($H$454:$H$2233,483,(K$454:K$2237))</f>
        <v>0</v>
      </c>
      <c r="L127" s="59">
        <f t="shared" si="10"/>
        <v>104143000</v>
      </c>
    </row>
    <row r="128" spans="1:13" x14ac:dyDescent="0.2">
      <c r="A128" s="504"/>
      <c r="B128" s="506"/>
      <c r="D128" s="504"/>
      <c r="F128" s="22"/>
      <c r="G128" s="1"/>
      <c r="H128" s="311">
        <v>485</v>
      </c>
      <c r="I128" s="45" t="s">
        <v>19</v>
      </c>
      <c r="J128" s="59">
        <f>SUMIF($H$234:$H$2294,485,(J$234:J$2294))</f>
        <v>20000000</v>
      </c>
      <c r="K128" s="59">
        <f>SUMIF($H$454:$H$2233,485,(K$454:K$2237))</f>
        <v>0</v>
      </c>
      <c r="L128" s="59">
        <f t="shared" si="10"/>
        <v>20000000</v>
      </c>
    </row>
    <row r="129" spans="1:16" x14ac:dyDescent="0.2">
      <c r="A129" s="504"/>
      <c r="B129" s="506"/>
      <c r="D129" s="504"/>
      <c r="F129" s="22"/>
      <c r="G129" s="1"/>
      <c r="H129" s="134">
        <v>49</v>
      </c>
      <c r="I129" s="135" t="s">
        <v>319</v>
      </c>
      <c r="J129" s="60">
        <f>SUM(J130)</f>
        <v>35355952.399999999</v>
      </c>
      <c r="K129" s="60">
        <f>SUM(K130)</f>
        <v>0</v>
      </c>
      <c r="L129" s="60">
        <f>SUM(J129:K129)</f>
        <v>35355952.399999999</v>
      </c>
      <c r="M129" s="194"/>
      <c r="O129" s="203"/>
    </row>
    <row r="130" spans="1:16" x14ac:dyDescent="0.2">
      <c r="A130" s="504"/>
      <c r="B130" s="506"/>
      <c r="D130" s="504"/>
      <c r="F130" s="22"/>
      <c r="G130" s="1"/>
      <c r="H130" s="311">
        <v>499</v>
      </c>
      <c r="I130" s="44" t="s">
        <v>172</v>
      </c>
      <c r="J130" s="59">
        <f>SUMIF($H$234:$H$2294,499,(J$234:J$2294))</f>
        <v>35355952.399999999</v>
      </c>
      <c r="K130" s="59">
        <f>SUMIF($H$454:$H$2233,499,(K$454:K$2237))</f>
        <v>0</v>
      </c>
      <c r="L130" s="59">
        <f>SUM(J130:K130)</f>
        <v>35355952.399999999</v>
      </c>
    </row>
    <row r="131" spans="1:16" x14ac:dyDescent="0.2">
      <c r="A131" s="504"/>
      <c r="B131" s="506"/>
      <c r="D131" s="504"/>
      <c r="F131" s="22"/>
      <c r="G131" s="1"/>
      <c r="H131" s="134">
        <v>51</v>
      </c>
      <c r="I131" s="135" t="s">
        <v>173</v>
      </c>
      <c r="J131" s="60">
        <f>SUM(J132:J135)</f>
        <v>2666294689.73</v>
      </c>
      <c r="K131" s="60">
        <f>SUM(K132:K135)</f>
        <v>700000</v>
      </c>
      <c r="L131" s="60">
        <f>SUM(J131:K131)</f>
        <v>2666994689.73</v>
      </c>
      <c r="M131" s="194"/>
      <c r="P131" s="1056"/>
    </row>
    <row r="132" spans="1:16" x14ac:dyDescent="0.2">
      <c r="A132" s="504"/>
      <c r="B132" s="506"/>
      <c r="D132" s="504"/>
      <c r="F132" s="22"/>
      <c r="G132" s="1"/>
      <c r="H132" s="311">
        <v>511</v>
      </c>
      <c r="I132" s="44" t="s">
        <v>20</v>
      </c>
      <c r="J132" s="59">
        <f>SUMIF($H$234:$H$2294,511,(J$234:J$2294))</f>
        <v>2466515454.5300002</v>
      </c>
      <c r="K132" s="59">
        <f>SUMIF($H$454:$H$2233,511,(K$454:K$2237))</f>
        <v>0</v>
      </c>
      <c r="L132" s="59">
        <f>SUM(J132:K132)</f>
        <v>2466515454.5300002</v>
      </c>
    </row>
    <row r="133" spans="1:16" x14ac:dyDescent="0.2">
      <c r="A133" s="504"/>
      <c r="B133" s="506"/>
      <c r="D133" s="504"/>
      <c r="F133" s="22"/>
      <c r="G133" s="1"/>
      <c r="H133" s="311">
        <v>512</v>
      </c>
      <c r="I133" s="44" t="s">
        <v>21</v>
      </c>
      <c r="J133" s="59">
        <f>SUMIF($H$234:$H$2294,512,(J$234:J$2294))</f>
        <v>176178235.19999999</v>
      </c>
      <c r="K133" s="59">
        <f>SUMIF($H$454:$H$2233,512,(K$454:K$2237))</f>
        <v>300000</v>
      </c>
      <c r="L133" s="59">
        <f t="shared" ref="L133:L135" si="11">SUM(J133:K133)</f>
        <v>176478235.19999999</v>
      </c>
    </row>
    <row r="134" spans="1:16" x14ac:dyDescent="0.2">
      <c r="A134" s="504"/>
      <c r="B134" s="506"/>
      <c r="D134" s="504"/>
      <c r="F134" s="22"/>
      <c r="G134" s="1"/>
      <c r="H134" s="311">
        <v>513</v>
      </c>
      <c r="I134" s="44" t="s">
        <v>22</v>
      </c>
      <c r="J134" s="59">
        <f>SUMIF($H$234:$H$2294,513,(J$234:J$2294))</f>
        <v>9300000</v>
      </c>
      <c r="K134" s="59">
        <f>SUMIF($H$454:$H$2233,513,(K$454:K$2237))</f>
        <v>0</v>
      </c>
      <c r="L134" s="59">
        <f t="shared" si="11"/>
        <v>9300000</v>
      </c>
    </row>
    <row r="135" spans="1:16" x14ac:dyDescent="0.2">
      <c r="A135" s="504"/>
      <c r="B135" s="506"/>
      <c r="D135" s="504"/>
      <c r="F135" s="22"/>
      <c r="G135" s="1"/>
      <c r="H135" s="311">
        <v>515</v>
      </c>
      <c r="I135" s="44" t="s">
        <v>23</v>
      </c>
      <c r="J135" s="59">
        <f>SUMIF($H$234:$H$2294,515,(J$234:J$2294))</f>
        <v>14301000</v>
      </c>
      <c r="K135" s="59">
        <f>SUMIF($H$454:$H$2233,515,(K$454:K$2237))</f>
        <v>400000</v>
      </c>
      <c r="L135" s="59">
        <f t="shared" si="11"/>
        <v>14701000</v>
      </c>
    </row>
    <row r="136" spans="1:16" x14ac:dyDescent="0.2">
      <c r="A136" s="504"/>
      <c r="B136" s="506"/>
      <c r="D136" s="504"/>
      <c r="F136" s="22"/>
      <c r="G136" s="1"/>
      <c r="H136" s="134">
        <v>52</v>
      </c>
      <c r="I136" s="135" t="s">
        <v>174</v>
      </c>
      <c r="J136" s="60">
        <f>SUM(J137)</f>
        <v>0</v>
      </c>
      <c r="K136" s="60">
        <f t="shared" ref="K136" si="12">SUM(K137)</f>
        <v>2270000</v>
      </c>
      <c r="L136" s="60">
        <f t="shared" ref="L136:L141" si="13">SUM(J136:K136)</f>
        <v>2270000</v>
      </c>
      <c r="M136" s="194"/>
    </row>
    <row r="137" spans="1:16" x14ac:dyDescent="0.2">
      <c r="A137" s="504"/>
      <c r="B137" s="506"/>
      <c r="D137" s="504"/>
      <c r="F137" s="22"/>
      <c r="G137" s="1"/>
      <c r="H137" s="311">
        <v>523</v>
      </c>
      <c r="I137" s="45" t="s">
        <v>24</v>
      </c>
      <c r="J137" s="59">
        <f>SUMIF($H$234:$H$2294,523,(J$234:J$2294))</f>
        <v>0</v>
      </c>
      <c r="K137" s="59">
        <f>SUMIF($H$454:$H$2233,523,(K$454:K$2237))</f>
        <v>2270000</v>
      </c>
      <c r="L137" s="59">
        <f t="shared" si="13"/>
        <v>2270000</v>
      </c>
    </row>
    <row r="138" spans="1:16" x14ac:dyDescent="0.2">
      <c r="A138" s="504"/>
      <c r="B138" s="506"/>
      <c r="D138" s="504"/>
      <c r="F138" s="22"/>
      <c r="G138" s="1"/>
      <c r="H138" s="134">
        <v>54</v>
      </c>
      <c r="I138" s="48" t="s">
        <v>175</v>
      </c>
      <c r="J138" s="60">
        <f>SUM(J139)</f>
        <v>127650000</v>
      </c>
      <c r="K138" s="60">
        <f>SUM(K139)</f>
        <v>0</v>
      </c>
      <c r="L138" s="60">
        <f t="shared" si="13"/>
        <v>127650000</v>
      </c>
      <c r="M138" s="194"/>
    </row>
    <row r="139" spans="1:16" x14ac:dyDescent="0.2">
      <c r="A139" s="504"/>
      <c r="B139" s="506"/>
      <c r="D139" s="504"/>
      <c r="F139" s="22"/>
      <c r="G139" s="1"/>
      <c r="H139" s="311">
        <v>541</v>
      </c>
      <c r="I139" s="45" t="s">
        <v>25</v>
      </c>
      <c r="J139" s="59">
        <f>SUMIF($H$234:$H$2294,541,(J$234:J$2294))</f>
        <v>127650000</v>
      </c>
      <c r="K139" s="59">
        <f>SUMIF($H$454:$H$2233,541,(K$454:K$2237))</f>
        <v>0</v>
      </c>
      <c r="L139" s="59">
        <f t="shared" si="13"/>
        <v>127650000</v>
      </c>
    </row>
    <row r="140" spans="1:16" x14ac:dyDescent="0.2">
      <c r="A140" s="504"/>
      <c r="B140" s="506"/>
      <c r="D140" s="504"/>
      <c r="F140" s="22"/>
      <c r="G140" s="1"/>
      <c r="H140" s="134">
        <v>62</v>
      </c>
      <c r="I140" s="48" t="s">
        <v>176</v>
      </c>
      <c r="J140" s="60">
        <f>SUM(J141)</f>
        <v>100000</v>
      </c>
      <c r="K140" s="60">
        <f>SUM(K141)</f>
        <v>0</v>
      </c>
      <c r="L140" s="60">
        <f t="shared" si="13"/>
        <v>100000</v>
      </c>
      <c r="M140" s="194"/>
    </row>
    <row r="141" spans="1:16" x14ac:dyDescent="0.2">
      <c r="A141" s="529"/>
      <c r="B141" s="530"/>
      <c r="C141" s="181"/>
      <c r="D141" s="529"/>
      <c r="E141" s="25"/>
      <c r="F141" s="429"/>
      <c r="G141" s="1"/>
      <c r="H141" s="311">
        <v>621</v>
      </c>
      <c r="I141" s="45" t="s">
        <v>26</v>
      </c>
      <c r="J141" s="59">
        <f>SUMIF($H$234:$H$2294,621,(J$234:J$2294))</f>
        <v>100000</v>
      </c>
      <c r="K141" s="59">
        <f>SUMIF($H$454:$H$2233,621,(K$454:K$2237))</f>
        <v>0</v>
      </c>
      <c r="L141" s="59">
        <f t="shared" si="13"/>
        <v>100000</v>
      </c>
    </row>
    <row r="142" spans="1:16" x14ac:dyDescent="0.2">
      <c r="A142" s="912"/>
      <c r="B142" s="531"/>
      <c r="C142" s="911"/>
      <c r="D142" s="531"/>
      <c r="E142" s="483"/>
      <c r="F142" s="208"/>
      <c r="G142" s="426"/>
      <c r="H142" s="128"/>
      <c r="I142" s="136" t="s">
        <v>177</v>
      </c>
      <c r="J142" s="553">
        <f>SUM(J96+J103+J110+J112+J115+J118+J122+J124+J129+J131+J138+J136+J140)</f>
        <v>5895500000</v>
      </c>
      <c r="K142" s="553">
        <f t="shared" ref="K142:L142" si="14">SUM(K96+K103+K110+K112+K115+K118+K122+K124+K129+K131+K138+K136+K140)</f>
        <v>26698050</v>
      </c>
      <c r="L142" s="554">
        <f t="shared" si="14"/>
        <v>5922198050</v>
      </c>
      <c r="M142" s="30"/>
    </row>
    <row r="143" spans="1:16" x14ac:dyDescent="0.2">
      <c r="A143" s="113"/>
      <c r="B143" s="112"/>
      <c r="C143" s="22"/>
      <c r="D143" s="113"/>
      <c r="F143" s="22"/>
      <c r="G143" s="1"/>
      <c r="H143" s="112"/>
      <c r="I143" s="233"/>
      <c r="J143" s="250"/>
      <c r="K143" s="250"/>
      <c r="L143" s="250"/>
      <c r="N143" s="17"/>
    </row>
    <row r="144" spans="1:16" x14ac:dyDescent="0.2">
      <c r="A144" s="1116" t="s">
        <v>1011</v>
      </c>
      <c r="B144" s="1116"/>
      <c r="C144" s="1116"/>
      <c r="D144" s="1116"/>
      <c r="E144" s="1116"/>
      <c r="F144" s="1116"/>
      <c r="G144" s="1116"/>
      <c r="H144" s="1116"/>
      <c r="I144" s="1116"/>
      <c r="J144" s="1116"/>
      <c r="K144" s="1116"/>
      <c r="L144" s="1116"/>
      <c r="M144" s="137"/>
      <c r="N144" s="17"/>
    </row>
    <row r="145" spans="1:16" ht="15" x14ac:dyDescent="0.25">
      <c r="A145" s="419"/>
      <c r="B145" s="419"/>
      <c r="C145" s="430"/>
      <c r="D145" s="419"/>
      <c r="E145" s="422"/>
      <c r="F145" s="449"/>
      <c r="G145" s="419"/>
      <c r="H145" s="449"/>
      <c r="I145" s="139"/>
      <c r="J145" s="523"/>
      <c r="K145" s="523"/>
      <c r="L145" s="523"/>
      <c r="M145" s="137"/>
      <c r="N145" s="17"/>
    </row>
    <row r="146" spans="1:16" s="145" customFormat="1" ht="15" x14ac:dyDescent="0.25">
      <c r="A146" s="141"/>
      <c r="B146" s="141"/>
      <c r="C146" s="431"/>
      <c r="D146" s="141" t="s">
        <v>1012</v>
      </c>
      <c r="E146" s="174"/>
      <c r="F146" s="450"/>
      <c r="G146" s="141"/>
      <c r="H146" s="450"/>
      <c r="I146" s="142"/>
      <c r="J146" s="143"/>
      <c r="K146" s="143"/>
      <c r="L146" s="523"/>
      <c r="M146" s="144"/>
      <c r="N146" s="203"/>
      <c r="O146" s="203"/>
      <c r="P146" s="923"/>
    </row>
    <row r="147" spans="1:16" s="145" customFormat="1" ht="15" x14ac:dyDescent="0.25">
      <c r="A147" s="141" t="s">
        <v>1013</v>
      </c>
      <c r="B147" s="141"/>
      <c r="C147" s="431"/>
      <c r="D147" s="141"/>
      <c r="E147" s="174"/>
      <c r="F147" s="450"/>
      <c r="G147" s="141"/>
      <c r="H147" s="450"/>
      <c r="I147" s="142"/>
      <c r="J147" s="143"/>
      <c r="K147" s="143"/>
      <c r="L147" s="523"/>
      <c r="M147" s="144"/>
      <c r="N147" s="203"/>
      <c r="O147" s="203"/>
      <c r="P147" s="923"/>
    </row>
    <row r="148" spans="1:16" x14ac:dyDescent="0.2">
      <c r="A148" s="559"/>
      <c r="B148" s="559"/>
      <c r="C148" s="560"/>
      <c r="D148" s="559"/>
      <c r="E148" s="561"/>
      <c r="F148" s="803"/>
      <c r="G148" s="562"/>
      <c r="H148" s="563"/>
      <c r="I148" s="564"/>
      <c r="J148" s="565"/>
      <c r="K148" s="565"/>
      <c r="L148" s="522"/>
      <c r="M148" s="150"/>
      <c r="N148" s="17"/>
    </row>
    <row r="149" spans="1:16" s="151" customFormat="1" ht="24" x14ac:dyDescent="0.25">
      <c r="A149" s="1124" t="s">
        <v>614</v>
      </c>
      <c r="B149" s="1125"/>
      <c r="C149" s="1125"/>
      <c r="D149" s="1125"/>
      <c r="E149" s="1125"/>
      <c r="F149" s="1125"/>
      <c r="G149" s="1125"/>
      <c r="H149" s="1125"/>
      <c r="I149" s="1126"/>
      <c r="J149" s="558" t="s">
        <v>324</v>
      </c>
      <c r="K149" s="552" t="s">
        <v>156</v>
      </c>
      <c r="L149" s="342"/>
      <c r="M149" s="150"/>
      <c r="N149" s="144"/>
      <c r="O149" s="137"/>
      <c r="P149" s="137"/>
    </row>
    <row r="150" spans="1:16" s="151" customFormat="1" ht="15" x14ac:dyDescent="0.25">
      <c r="A150" s="1117">
        <v>1</v>
      </c>
      <c r="B150" s="1118"/>
      <c r="C150" s="1118"/>
      <c r="D150" s="1118"/>
      <c r="E150" s="1118"/>
      <c r="F150" s="1118"/>
      <c r="G150" s="1118"/>
      <c r="H150" s="1118"/>
      <c r="I150" s="1119"/>
      <c r="J150" s="152">
        <v>2</v>
      </c>
      <c r="K150" s="343">
        <v>3</v>
      </c>
      <c r="L150" s="342"/>
      <c r="M150" s="150"/>
      <c r="N150" s="144"/>
      <c r="O150" s="137"/>
      <c r="P150" s="137"/>
    </row>
    <row r="151" spans="1:16" s="151" customFormat="1" ht="15" x14ac:dyDescent="0.25">
      <c r="A151" s="852" t="s">
        <v>184</v>
      </c>
      <c r="B151" s="852"/>
      <c r="C151" s="841"/>
      <c r="D151" s="852"/>
      <c r="E151" s="483"/>
      <c r="F151" s="853"/>
      <c r="G151" s="854"/>
      <c r="H151" s="855"/>
      <c r="I151" s="856"/>
      <c r="J151" s="857"/>
      <c r="K151" s="858"/>
      <c r="L151" s="342"/>
      <c r="M151" s="150"/>
      <c r="N151" s="144"/>
      <c r="O151" s="137"/>
      <c r="P151" s="137"/>
    </row>
    <row r="152" spans="1:16" s="151" customFormat="1" ht="15" x14ac:dyDescent="0.25">
      <c r="A152" s="1095" t="s">
        <v>185</v>
      </c>
      <c r="B152" s="1096"/>
      <c r="C152" s="1096"/>
      <c r="D152" s="1096"/>
      <c r="E152" s="1096"/>
      <c r="F152" s="1096"/>
      <c r="G152" s="1096"/>
      <c r="H152" s="1096"/>
      <c r="I152" s="1097"/>
      <c r="J152" s="859"/>
      <c r="K152" s="349">
        <f>K153+K164</f>
        <v>5334071698.8999996</v>
      </c>
      <c r="L152" s="342"/>
      <c r="M152" s="150"/>
      <c r="N152" s="150"/>
      <c r="O152" s="150"/>
      <c r="P152" s="137"/>
    </row>
    <row r="153" spans="1:16" s="151" customFormat="1" ht="15" customHeight="1" x14ac:dyDescent="0.25">
      <c r="A153" s="1086" t="s">
        <v>186</v>
      </c>
      <c r="B153" s="1087"/>
      <c r="C153" s="1087"/>
      <c r="D153" s="1087"/>
      <c r="E153" s="1087"/>
      <c r="F153" s="1087"/>
      <c r="G153" s="1087"/>
      <c r="H153" s="1087"/>
      <c r="I153" s="1088"/>
      <c r="J153" s="860">
        <v>7</v>
      </c>
      <c r="K153" s="59">
        <f>SUM(L31+L38+L43+L51+L53+L56+L59+L64+L70+L76+L78+L74)</f>
        <v>4566721698.8999996</v>
      </c>
      <c r="L153" s="342"/>
      <c r="M153" s="150"/>
      <c r="N153" s="150"/>
      <c r="O153" s="150"/>
      <c r="P153" s="137"/>
    </row>
    <row r="154" spans="1:16" s="151" customFormat="1" ht="15" customHeight="1" x14ac:dyDescent="0.25">
      <c r="A154" s="1074" t="s">
        <v>187</v>
      </c>
      <c r="B154" s="1075"/>
      <c r="C154" s="1075"/>
      <c r="D154" s="1075"/>
      <c r="E154" s="1075"/>
      <c r="F154" s="1075"/>
      <c r="G154" s="1075"/>
      <c r="H154" s="1075"/>
      <c r="I154" s="1076"/>
      <c r="J154" s="860" t="s">
        <v>325</v>
      </c>
      <c r="K154" s="59">
        <f>SUM(L31+L38+L43+L51)</f>
        <v>2309750000</v>
      </c>
      <c r="L154" s="342"/>
      <c r="M154" s="150"/>
      <c r="N154" s="924"/>
      <c r="O154" s="150"/>
      <c r="P154" s="137"/>
    </row>
    <row r="155" spans="1:16" s="151" customFormat="1" ht="15" customHeight="1" x14ac:dyDescent="0.25">
      <c r="A155" s="1074" t="s">
        <v>188</v>
      </c>
      <c r="B155" s="1075"/>
      <c r="C155" s="1075"/>
      <c r="D155" s="1075"/>
      <c r="E155" s="1075"/>
      <c r="F155" s="1075"/>
      <c r="G155" s="1075"/>
      <c r="H155" s="1075"/>
      <c r="I155" s="1076"/>
      <c r="J155" s="860" t="s">
        <v>326</v>
      </c>
      <c r="K155" s="59">
        <f>SUM(L31)</f>
        <v>1357500000</v>
      </c>
      <c r="L155" s="342"/>
      <c r="M155" s="150"/>
      <c r="N155" s="924"/>
      <c r="O155" s="150"/>
      <c r="P155" s="137"/>
    </row>
    <row r="156" spans="1:16" s="151" customFormat="1" ht="15" customHeight="1" x14ac:dyDescent="0.25">
      <c r="A156" s="1074" t="s">
        <v>189</v>
      </c>
      <c r="B156" s="1075"/>
      <c r="C156" s="1075"/>
      <c r="D156" s="1075"/>
      <c r="E156" s="1075"/>
      <c r="F156" s="1075"/>
      <c r="G156" s="1075"/>
      <c r="H156" s="1075"/>
      <c r="I156" s="1076"/>
      <c r="J156" s="850" t="s">
        <v>327</v>
      </c>
      <c r="K156" s="59">
        <f>SUM(L43)</f>
        <v>187150000</v>
      </c>
      <c r="L156" s="342"/>
      <c r="M156" s="150"/>
      <c r="N156" s="924"/>
      <c r="O156" s="150"/>
      <c r="P156" s="137"/>
    </row>
    <row r="157" spans="1:16" s="151" customFormat="1" ht="15" customHeight="1" x14ac:dyDescent="0.25">
      <c r="A157" s="1074" t="s">
        <v>190</v>
      </c>
      <c r="B157" s="1075"/>
      <c r="C157" s="1075"/>
      <c r="D157" s="1075"/>
      <c r="E157" s="1075"/>
      <c r="F157" s="1075"/>
      <c r="G157" s="1075"/>
      <c r="H157" s="1075"/>
      <c r="I157" s="1076"/>
      <c r="J157" s="850" t="s">
        <v>328</v>
      </c>
      <c r="K157" s="59">
        <f>SUM(L51+L38)</f>
        <v>765100000</v>
      </c>
      <c r="L157" s="342"/>
      <c r="M157" s="150"/>
      <c r="N157" s="924"/>
      <c r="O157" s="150"/>
      <c r="P157" s="137"/>
    </row>
    <row r="158" spans="1:16" s="151" customFormat="1" ht="15" customHeight="1" x14ac:dyDescent="0.25">
      <c r="A158" s="1074" t="s">
        <v>191</v>
      </c>
      <c r="B158" s="1075"/>
      <c r="C158" s="1075"/>
      <c r="D158" s="1075"/>
      <c r="E158" s="1075"/>
      <c r="F158" s="1075"/>
      <c r="G158" s="1075"/>
      <c r="H158" s="1075"/>
      <c r="I158" s="1076"/>
      <c r="J158" s="850" t="s">
        <v>329</v>
      </c>
      <c r="K158" s="59">
        <f>SUM(L59+L64+L70+L76+L74)</f>
        <v>846788647.77999997</v>
      </c>
      <c r="L158" s="342"/>
      <c r="M158" s="150"/>
      <c r="N158" s="924"/>
      <c r="O158" s="150"/>
      <c r="P158" s="137"/>
    </row>
    <row r="159" spans="1:16" s="151" customFormat="1" ht="15" customHeight="1" x14ac:dyDescent="0.25">
      <c r="A159" s="1077" t="s">
        <v>192</v>
      </c>
      <c r="B159" s="1078"/>
      <c r="C159" s="1078"/>
      <c r="D159" s="1078"/>
      <c r="E159" s="1078"/>
      <c r="F159" s="1078"/>
      <c r="G159" s="1078"/>
      <c r="H159" s="1078"/>
      <c r="I159" s="1079"/>
      <c r="J159" s="850" t="s">
        <v>330</v>
      </c>
      <c r="K159" s="59">
        <f>SUM(L60)</f>
        <v>150000</v>
      </c>
      <c r="L159" s="342"/>
      <c r="M159" s="150"/>
      <c r="N159" s="924"/>
      <c r="O159" s="150"/>
      <c r="P159" s="137"/>
    </row>
    <row r="160" spans="1:16" s="151" customFormat="1" ht="15" customHeight="1" x14ac:dyDescent="0.25">
      <c r="A160" s="1077" t="s">
        <v>193</v>
      </c>
      <c r="B160" s="1078"/>
      <c r="C160" s="1078"/>
      <c r="D160" s="1078"/>
      <c r="E160" s="1078"/>
      <c r="F160" s="1078"/>
      <c r="G160" s="1078"/>
      <c r="H160" s="1078"/>
      <c r="I160" s="1079"/>
      <c r="J160" s="850" t="s">
        <v>331</v>
      </c>
      <c r="K160" s="59">
        <f>SUM(L62+L63+L61)</f>
        <v>441000000</v>
      </c>
      <c r="L160" s="342"/>
      <c r="M160" s="150"/>
      <c r="N160" s="924"/>
      <c r="O160" s="150"/>
      <c r="P160" s="137"/>
    </row>
    <row r="161" spans="1:16" s="151" customFormat="1" ht="15" customHeight="1" x14ac:dyDescent="0.25">
      <c r="A161" s="861" t="s">
        <v>368</v>
      </c>
      <c r="B161" s="862"/>
      <c r="C161" s="863"/>
      <c r="D161" s="862"/>
      <c r="E161" s="169"/>
      <c r="F161" s="864"/>
      <c r="G161" s="865"/>
      <c r="H161" s="451"/>
      <c r="I161" s="160"/>
      <c r="J161" s="850" t="s">
        <v>332</v>
      </c>
      <c r="K161" s="118"/>
      <c r="L161" s="342"/>
      <c r="M161" s="150"/>
      <c r="N161" s="924"/>
      <c r="O161" s="150"/>
      <c r="P161" s="137"/>
    </row>
    <row r="162" spans="1:16" s="151" customFormat="1" ht="15" customHeight="1" x14ac:dyDescent="0.25">
      <c r="A162" s="1074" t="s">
        <v>194</v>
      </c>
      <c r="B162" s="1075"/>
      <c r="C162" s="1075"/>
      <c r="D162" s="1075"/>
      <c r="E162" s="1075"/>
      <c r="F162" s="1075"/>
      <c r="G162" s="1075"/>
      <c r="H162" s="1075"/>
      <c r="I162" s="1076"/>
      <c r="J162" s="850" t="s">
        <v>333</v>
      </c>
      <c r="K162" s="59">
        <f>SUM(L53)</f>
        <v>42484886.32</v>
      </c>
      <c r="L162" s="342"/>
      <c r="M162" s="150"/>
      <c r="N162" s="924"/>
      <c r="O162" s="150"/>
      <c r="P162" s="137"/>
    </row>
    <row r="163" spans="1:16" s="151" customFormat="1" ht="15" customHeight="1" x14ac:dyDescent="0.25">
      <c r="A163" s="1074" t="s">
        <v>195</v>
      </c>
      <c r="B163" s="1075"/>
      <c r="C163" s="1075"/>
      <c r="D163" s="1075"/>
      <c r="E163" s="1075"/>
      <c r="F163" s="1075"/>
      <c r="G163" s="1075"/>
      <c r="H163" s="1075"/>
      <c r="I163" s="1076"/>
      <c r="J163" s="850" t="s">
        <v>334</v>
      </c>
      <c r="K163" s="59">
        <f>SUM(L56)</f>
        <v>1358198164.8</v>
      </c>
      <c r="L163" s="342"/>
      <c r="M163" s="150"/>
      <c r="N163" s="924"/>
      <c r="O163" s="150"/>
      <c r="P163" s="137"/>
    </row>
    <row r="164" spans="1:16" s="151" customFormat="1" ht="15" customHeight="1" x14ac:dyDescent="0.25">
      <c r="A164" s="1086" t="s">
        <v>196</v>
      </c>
      <c r="B164" s="1087"/>
      <c r="C164" s="1087"/>
      <c r="D164" s="1087"/>
      <c r="E164" s="1087"/>
      <c r="F164" s="1087"/>
      <c r="G164" s="1087"/>
      <c r="H164" s="1087"/>
      <c r="I164" s="1088"/>
      <c r="J164" s="850" t="s">
        <v>285</v>
      </c>
      <c r="K164" s="59">
        <f>SUM(L86+L84+L80+L82)</f>
        <v>767350000</v>
      </c>
      <c r="L164" s="342"/>
      <c r="M164" s="150"/>
      <c r="N164" s="924"/>
      <c r="O164" s="150"/>
      <c r="P164" s="137"/>
    </row>
    <row r="165" spans="1:16" s="151" customFormat="1" ht="15" customHeight="1" x14ac:dyDescent="0.25">
      <c r="A165" s="1121" t="s">
        <v>197</v>
      </c>
      <c r="B165" s="1122"/>
      <c r="C165" s="1122"/>
      <c r="D165" s="1127"/>
      <c r="E165" s="1122"/>
      <c r="F165" s="1122"/>
      <c r="G165" s="1122"/>
      <c r="H165" s="1122"/>
      <c r="I165" s="1123"/>
      <c r="J165" s="850"/>
      <c r="K165" s="60">
        <f>K166+K175</f>
        <v>5922098050</v>
      </c>
      <c r="L165" s="342"/>
      <c r="M165" s="150"/>
      <c r="N165" s="924"/>
      <c r="O165" s="150"/>
      <c r="P165" s="137"/>
    </row>
    <row r="166" spans="1:16" s="151" customFormat="1" ht="15" customHeight="1" thickBot="1" x14ac:dyDescent="0.3">
      <c r="A166" s="866" t="s">
        <v>369</v>
      </c>
      <c r="B166" s="866"/>
      <c r="C166" s="433"/>
      <c r="D166" s="867"/>
      <c r="E166" s="169"/>
      <c r="F166" s="864"/>
      <c r="G166" s="865"/>
      <c r="H166" s="451"/>
      <c r="I166" s="338"/>
      <c r="J166" s="850" t="s">
        <v>282</v>
      </c>
      <c r="K166" s="59">
        <f>SUM(L96+L103+L110+L112+L115+L118+L122+L124+L129)</f>
        <v>3125183360.27</v>
      </c>
      <c r="L166" s="342"/>
      <c r="M166" s="150"/>
      <c r="N166" s="924"/>
      <c r="O166" s="150"/>
      <c r="P166" s="137"/>
    </row>
    <row r="167" spans="1:16" s="151" customFormat="1" ht="15" customHeight="1" x14ac:dyDescent="0.25">
      <c r="A167" s="1074" t="s">
        <v>198</v>
      </c>
      <c r="B167" s="1075"/>
      <c r="C167" s="1075"/>
      <c r="D167" s="1128"/>
      <c r="E167" s="1075"/>
      <c r="F167" s="1075"/>
      <c r="G167" s="1075"/>
      <c r="H167" s="1075"/>
      <c r="I167" s="1076"/>
      <c r="J167" s="850" t="s">
        <v>335</v>
      </c>
      <c r="K167" s="59">
        <f>SUM(L96)</f>
        <v>355412642.62</v>
      </c>
      <c r="L167" s="342"/>
      <c r="M167" s="150"/>
      <c r="N167" s="924"/>
      <c r="O167" s="150"/>
      <c r="P167" s="137"/>
    </row>
    <row r="168" spans="1:16" s="151" customFormat="1" ht="15" customHeight="1" x14ac:dyDescent="0.25">
      <c r="A168" s="1074" t="s">
        <v>199</v>
      </c>
      <c r="B168" s="1075"/>
      <c r="C168" s="1075"/>
      <c r="D168" s="1075"/>
      <c r="E168" s="1075"/>
      <c r="F168" s="1075"/>
      <c r="G168" s="1075"/>
      <c r="H168" s="1075"/>
      <c r="I168" s="1076"/>
      <c r="J168" s="850" t="s">
        <v>336</v>
      </c>
      <c r="K168" s="59">
        <f>SUM(L103)</f>
        <v>1261483336.1999998</v>
      </c>
      <c r="L168" s="342"/>
      <c r="M168" s="150"/>
      <c r="N168" s="924"/>
      <c r="O168" s="150"/>
      <c r="P168" s="137"/>
    </row>
    <row r="169" spans="1:16" s="151" customFormat="1" ht="15" customHeight="1" x14ac:dyDescent="0.25">
      <c r="A169" s="1074" t="s">
        <v>200</v>
      </c>
      <c r="B169" s="1075"/>
      <c r="C169" s="1075"/>
      <c r="D169" s="1075"/>
      <c r="E169" s="1075"/>
      <c r="F169" s="1075"/>
      <c r="G169" s="1075"/>
      <c r="H169" s="1075"/>
      <c r="I169" s="1076"/>
      <c r="J169" s="850" t="s">
        <v>337</v>
      </c>
      <c r="K169" s="59">
        <f>SUM(L112)</f>
        <v>9772000</v>
      </c>
      <c r="L169" s="342"/>
      <c r="M169" s="150"/>
      <c r="N169" s="924"/>
      <c r="O169" s="150"/>
      <c r="P169" s="137"/>
    </row>
    <row r="170" spans="1:16" s="151" customFormat="1" ht="15" customHeight="1" x14ac:dyDescent="0.25">
      <c r="A170" s="1120" t="s">
        <v>201</v>
      </c>
      <c r="B170" s="1120"/>
      <c r="C170" s="1120"/>
      <c r="D170" s="1120"/>
      <c r="E170" s="1120"/>
      <c r="F170" s="1120"/>
      <c r="G170" s="1120"/>
      <c r="H170" s="1120"/>
      <c r="I170" s="1120"/>
      <c r="J170" s="850" t="s">
        <v>338</v>
      </c>
      <c r="K170" s="59">
        <f>SUM(L115)</f>
        <v>308188028</v>
      </c>
      <c r="L170" s="342"/>
      <c r="M170" s="150"/>
      <c r="N170" s="924"/>
      <c r="O170" s="150"/>
      <c r="P170" s="137"/>
    </row>
    <row r="171" spans="1:16" s="151" customFormat="1" ht="15" customHeight="1" x14ac:dyDescent="0.25">
      <c r="A171" s="1074" t="s">
        <v>202</v>
      </c>
      <c r="B171" s="1075"/>
      <c r="C171" s="1075"/>
      <c r="D171" s="1075"/>
      <c r="E171" s="1075"/>
      <c r="F171" s="1075"/>
      <c r="G171" s="1075"/>
      <c r="H171" s="1075"/>
      <c r="I171" s="1076"/>
      <c r="J171" s="850" t="s">
        <v>339</v>
      </c>
      <c r="K171" s="849">
        <f>SUM(L122)</f>
        <v>382740000</v>
      </c>
      <c r="L171" s="345"/>
      <c r="M171" s="153"/>
      <c r="N171" s="924"/>
      <c r="O171" s="150"/>
      <c r="P171" s="137"/>
    </row>
    <row r="172" spans="1:16" s="151" customFormat="1" ht="15" customHeight="1" x14ac:dyDescent="0.25">
      <c r="A172" s="1074" t="s">
        <v>203</v>
      </c>
      <c r="B172" s="1075"/>
      <c r="C172" s="1075"/>
      <c r="D172" s="1075"/>
      <c r="E172" s="1075"/>
      <c r="F172" s="1075"/>
      <c r="G172" s="1075"/>
      <c r="H172" s="1075"/>
      <c r="I172" s="1076"/>
      <c r="J172" s="850" t="s">
        <v>340</v>
      </c>
      <c r="K172" s="59">
        <f>SUM(L124+L129)</f>
        <v>369674152.39999998</v>
      </c>
      <c r="L172" s="342"/>
      <c r="M172" s="150"/>
      <c r="N172" s="924"/>
      <c r="O172" s="150"/>
      <c r="P172" s="137"/>
    </row>
    <row r="173" spans="1:16" s="151" customFormat="1" ht="15" customHeight="1" x14ac:dyDescent="0.25">
      <c r="A173" s="1074" t="s">
        <v>204</v>
      </c>
      <c r="B173" s="1075"/>
      <c r="C173" s="1075"/>
      <c r="D173" s="1075"/>
      <c r="E173" s="1075"/>
      <c r="F173" s="1075"/>
      <c r="G173" s="1075"/>
      <c r="H173" s="1075"/>
      <c r="I173" s="1076"/>
      <c r="J173" s="850" t="s">
        <v>341</v>
      </c>
      <c r="K173" s="59">
        <v>219394000</v>
      </c>
      <c r="L173" s="346"/>
      <c r="M173" s="150"/>
      <c r="N173" s="150"/>
      <c r="O173" s="150"/>
      <c r="P173" s="137"/>
    </row>
    <row r="174" spans="1:16" s="151" customFormat="1" ht="15" customHeight="1" x14ac:dyDescent="0.25">
      <c r="A174" s="1074" t="s">
        <v>205</v>
      </c>
      <c r="B174" s="1075"/>
      <c r="C174" s="1075"/>
      <c r="D174" s="1075"/>
      <c r="E174" s="1075"/>
      <c r="F174" s="1075"/>
      <c r="G174" s="1075"/>
      <c r="H174" s="1075"/>
      <c r="I174" s="1076"/>
      <c r="J174" s="850" t="s">
        <v>342</v>
      </c>
      <c r="K174" s="59">
        <v>49428651.049999997</v>
      </c>
      <c r="L174" s="346"/>
      <c r="M174" s="150"/>
      <c r="N174" s="150"/>
      <c r="O174" s="150"/>
      <c r="P174" s="137"/>
    </row>
    <row r="175" spans="1:16" s="151" customFormat="1" ht="15" customHeight="1" x14ac:dyDescent="0.25">
      <c r="A175" s="1086" t="s">
        <v>206</v>
      </c>
      <c r="B175" s="1087"/>
      <c r="C175" s="1087"/>
      <c r="D175" s="1087"/>
      <c r="E175" s="1087"/>
      <c r="F175" s="1087"/>
      <c r="G175" s="1087"/>
      <c r="H175" s="1087"/>
      <c r="I175" s="1088"/>
      <c r="J175" s="850" t="s">
        <v>283</v>
      </c>
      <c r="K175" s="59">
        <f>SUM(L131+L136+L138)</f>
        <v>2796914689.73</v>
      </c>
      <c r="L175" s="342"/>
      <c r="M175" s="150"/>
      <c r="N175" s="150"/>
      <c r="O175" s="150"/>
      <c r="P175" s="137"/>
    </row>
    <row r="176" spans="1:16" s="151" customFormat="1" ht="15" customHeight="1" x14ac:dyDescent="0.25">
      <c r="A176" s="1121" t="s">
        <v>207</v>
      </c>
      <c r="B176" s="1122"/>
      <c r="C176" s="1122"/>
      <c r="D176" s="1122"/>
      <c r="E176" s="1122"/>
      <c r="F176" s="1122"/>
      <c r="G176" s="1122"/>
      <c r="H176" s="1122"/>
      <c r="I176" s="1123"/>
      <c r="J176" s="347" t="s">
        <v>343</v>
      </c>
      <c r="K176" s="60">
        <f>(K153+K164)-(K166+K175)</f>
        <v>-588026351.10000038</v>
      </c>
      <c r="L176" s="342"/>
      <c r="M176" s="150"/>
      <c r="N176" s="150"/>
      <c r="O176" s="150"/>
      <c r="P176" s="137"/>
    </row>
    <row r="177" spans="1:16" s="151" customFormat="1" ht="24.75" customHeight="1" x14ac:dyDescent="0.25">
      <c r="A177" s="1071" t="s">
        <v>357</v>
      </c>
      <c r="B177" s="1072"/>
      <c r="C177" s="1072"/>
      <c r="D177" s="1072"/>
      <c r="E177" s="1072"/>
      <c r="F177" s="1072"/>
      <c r="G177" s="1072"/>
      <c r="H177" s="1072"/>
      <c r="I177" s="1073"/>
      <c r="J177" s="850" t="s">
        <v>355</v>
      </c>
      <c r="K177" s="59">
        <f>(K153-K159+K164)-(K166-K169+K175)</f>
        <v>-578404351.10000038</v>
      </c>
      <c r="L177" s="342"/>
      <c r="M177" s="150"/>
      <c r="N177" s="924"/>
      <c r="O177" s="150"/>
      <c r="P177" s="137"/>
    </row>
    <row r="178" spans="1:16" s="151" customFormat="1" ht="15" customHeight="1" x14ac:dyDescent="0.25">
      <c r="A178" s="1092" t="s">
        <v>358</v>
      </c>
      <c r="B178" s="1093"/>
      <c r="C178" s="1093"/>
      <c r="D178" s="1093"/>
      <c r="E178" s="1093"/>
      <c r="F178" s="1093"/>
      <c r="G178" s="1093"/>
      <c r="H178" s="1093"/>
      <c r="I178" s="1094"/>
      <c r="J178" s="868"/>
      <c r="K178" s="851">
        <f>K176+K182</f>
        <v>-588126351.10000038</v>
      </c>
      <c r="L178" s="342"/>
      <c r="M178" s="150"/>
      <c r="N178" s="924"/>
      <c r="O178" s="150"/>
      <c r="P178" s="137"/>
    </row>
    <row r="179" spans="1:16" s="151" customFormat="1" ht="24.75" customHeight="1" x14ac:dyDescent="0.25">
      <c r="A179" s="1098" t="s">
        <v>359</v>
      </c>
      <c r="B179" s="1099"/>
      <c r="C179" s="1099"/>
      <c r="D179" s="1099"/>
      <c r="E179" s="1099"/>
      <c r="F179" s="1099"/>
      <c r="G179" s="1099"/>
      <c r="H179" s="1099"/>
      <c r="I179" s="1099"/>
      <c r="J179" s="869"/>
      <c r="K179" s="858"/>
      <c r="L179" s="342"/>
      <c r="M179" s="150"/>
      <c r="N179" s="924"/>
      <c r="O179" s="150"/>
      <c r="P179" s="137"/>
    </row>
    <row r="180" spans="1:16" s="151" customFormat="1" ht="15" customHeight="1" x14ac:dyDescent="0.25">
      <c r="A180" s="1095" t="s">
        <v>360</v>
      </c>
      <c r="B180" s="1096"/>
      <c r="C180" s="1096"/>
      <c r="D180" s="1096"/>
      <c r="E180" s="1096"/>
      <c r="F180" s="1096"/>
      <c r="G180" s="1096"/>
      <c r="H180" s="1096"/>
      <c r="I180" s="1097"/>
      <c r="J180" s="348" t="s">
        <v>344</v>
      </c>
      <c r="K180" s="349"/>
      <c r="L180" s="342"/>
      <c r="M180" s="150"/>
      <c r="N180" s="924"/>
      <c r="O180" s="150"/>
      <c r="P180" s="137"/>
    </row>
    <row r="181" spans="1:16" s="151" customFormat="1" ht="15" customHeight="1" x14ac:dyDescent="0.25">
      <c r="A181" s="507" t="s">
        <v>677</v>
      </c>
      <c r="B181" s="510"/>
      <c r="C181" s="512"/>
      <c r="D181" s="510"/>
      <c r="E181" s="501"/>
      <c r="F181" s="804"/>
      <c r="G181" s="428"/>
      <c r="H181" s="155"/>
      <c r="I181" s="156"/>
      <c r="J181" s="347" t="s">
        <v>349</v>
      </c>
      <c r="K181" s="60">
        <f>SUM(L140)</f>
        <v>100000</v>
      </c>
      <c r="L181" s="342"/>
      <c r="M181" s="150"/>
      <c r="N181" s="924"/>
      <c r="O181" s="150"/>
      <c r="P181" s="137"/>
    </row>
    <row r="182" spans="1:16" s="151" customFormat="1" ht="29.25" customHeight="1" x14ac:dyDescent="0.25">
      <c r="A182" s="1089" t="s">
        <v>371</v>
      </c>
      <c r="B182" s="1090"/>
      <c r="C182" s="1090"/>
      <c r="D182" s="1090"/>
      <c r="E182" s="1090"/>
      <c r="F182" s="1090"/>
      <c r="G182" s="1090"/>
      <c r="H182" s="1090"/>
      <c r="I182" s="1091"/>
      <c r="J182" s="350" t="s">
        <v>356</v>
      </c>
      <c r="K182" s="351">
        <f>SUM(K180-K181)</f>
        <v>-100000</v>
      </c>
      <c r="L182" s="342"/>
      <c r="M182" s="150"/>
      <c r="N182" s="924"/>
      <c r="O182" s="150"/>
      <c r="P182" s="137"/>
    </row>
    <row r="183" spans="1:16" s="151" customFormat="1" ht="15" customHeight="1" x14ac:dyDescent="0.25">
      <c r="A183" s="1098" t="s">
        <v>370</v>
      </c>
      <c r="B183" s="1099"/>
      <c r="C183" s="1099"/>
      <c r="D183" s="1099"/>
      <c r="E183" s="1099"/>
      <c r="F183" s="1099"/>
      <c r="G183" s="1099"/>
      <c r="H183" s="1099"/>
      <c r="I183" s="1099"/>
      <c r="J183" s="869"/>
      <c r="K183" s="858"/>
      <c r="L183" s="342"/>
      <c r="M183" s="150"/>
      <c r="N183" s="924"/>
      <c r="O183" s="150"/>
      <c r="P183" s="137"/>
    </row>
    <row r="184" spans="1:16" s="151" customFormat="1" ht="18.75" customHeight="1" x14ac:dyDescent="0.25">
      <c r="A184" s="1100" t="s">
        <v>361</v>
      </c>
      <c r="B184" s="1101"/>
      <c r="C184" s="1101"/>
      <c r="D184" s="1101"/>
      <c r="E184" s="1101"/>
      <c r="F184" s="1101"/>
      <c r="G184" s="1101"/>
      <c r="H184" s="1101"/>
      <c r="I184" s="1102"/>
      <c r="J184" s="348" t="s">
        <v>345</v>
      </c>
      <c r="K184" s="349">
        <f>SUM(K185+K188)</f>
        <v>588126351.10000002</v>
      </c>
      <c r="L184" s="342"/>
      <c r="M184" s="150"/>
      <c r="N184" s="924"/>
      <c r="O184" s="150"/>
      <c r="P184" s="137"/>
    </row>
    <row r="185" spans="1:16" s="151" customFormat="1" ht="18" customHeight="1" x14ac:dyDescent="0.25">
      <c r="A185" s="1074" t="s">
        <v>362</v>
      </c>
      <c r="B185" s="1075"/>
      <c r="C185" s="1075"/>
      <c r="D185" s="1075"/>
      <c r="E185" s="1075"/>
      <c r="F185" s="1075"/>
      <c r="G185" s="1075"/>
      <c r="H185" s="1075"/>
      <c r="I185" s="1076"/>
      <c r="J185" s="850" t="s">
        <v>346</v>
      </c>
      <c r="K185" s="59">
        <f>SUM(L89)</f>
        <v>588126351.10000002</v>
      </c>
      <c r="L185" s="342"/>
      <c r="M185" s="150"/>
      <c r="N185" s="924"/>
      <c r="O185" s="150"/>
      <c r="P185" s="137"/>
    </row>
    <row r="186" spans="1:16" s="151" customFormat="1" ht="15.75" customHeight="1" x14ac:dyDescent="0.25">
      <c r="A186" s="1074" t="s">
        <v>363</v>
      </c>
      <c r="B186" s="1075"/>
      <c r="C186" s="1075"/>
      <c r="D186" s="1075"/>
      <c r="E186" s="1075"/>
      <c r="F186" s="1075"/>
      <c r="G186" s="1075"/>
      <c r="H186" s="1075"/>
      <c r="I186" s="1076"/>
      <c r="J186" s="850" t="s">
        <v>347</v>
      </c>
      <c r="K186" s="59">
        <v>588126351.10000002</v>
      </c>
      <c r="L186" s="342"/>
      <c r="M186" s="150"/>
      <c r="N186" s="924"/>
      <c r="O186" s="150"/>
      <c r="P186" s="137"/>
    </row>
    <row r="187" spans="1:16" s="151" customFormat="1" ht="36" customHeight="1" x14ac:dyDescent="0.25">
      <c r="A187" s="1074" t="s">
        <v>208</v>
      </c>
      <c r="B187" s="1075"/>
      <c r="C187" s="1075"/>
      <c r="D187" s="1075"/>
      <c r="E187" s="1075"/>
      <c r="F187" s="1075"/>
      <c r="G187" s="1075"/>
      <c r="H187" s="1075"/>
      <c r="I187" s="1076"/>
      <c r="J187" s="870" t="s">
        <v>364</v>
      </c>
      <c r="K187" s="118"/>
      <c r="L187" s="342"/>
      <c r="M187" s="150"/>
      <c r="N187" s="924"/>
      <c r="O187" s="150"/>
      <c r="P187" s="137"/>
    </row>
    <row r="188" spans="1:16" s="151" customFormat="1" ht="18" customHeight="1" x14ac:dyDescent="0.25">
      <c r="A188" s="1074" t="s">
        <v>209</v>
      </c>
      <c r="B188" s="1075"/>
      <c r="C188" s="1075"/>
      <c r="D188" s="1075"/>
      <c r="E188" s="1075"/>
      <c r="F188" s="1075"/>
      <c r="G188" s="1075"/>
      <c r="H188" s="1075"/>
      <c r="I188" s="1076"/>
      <c r="J188" s="850" t="s">
        <v>348</v>
      </c>
      <c r="K188" s="118"/>
      <c r="L188" s="342"/>
      <c r="M188" s="150"/>
      <c r="N188" s="924"/>
      <c r="O188" s="150"/>
      <c r="P188" s="137"/>
    </row>
    <row r="189" spans="1:16" s="151" customFormat="1" ht="17.25" customHeight="1" x14ac:dyDescent="0.25">
      <c r="A189" s="1083" t="s">
        <v>365</v>
      </c>
      <c r="B189" s="1084"/>
      <c r="C189" s="1084"/>
      <c r="D189" s="1084"/>
      <c r="E189" s="1084"/>
      <c r="F189" s="1084"/>
      <c r="G189" s="1084"/>
      <c r="H189" s="1084"/>
      <c r="I189" s="1085"/>
      <c r="J189" s="347" t="s">
        <v>350</v>
      </c>
      <c r="K189" s="60"/>
      <c r="L189" s="342"/>
      <c r="M189" s="150"/>
      <c r="N189" s="924"/>
      <c r="O189" s="150"/>
      <c r="P189" s="137"/>
    </row>
    <row r="190" spans="1:16" s="151" customFormat="1" ht="17.25" customHeight="1" x14ac:dyDescent="0.25">
      <c r="A190" s="1074" t="s">
        <v>210</v>
      </c>
      <c r="B190" s="1075"/>
      <c r="C190" s="1075"/>
      <c r="D190" s="1075"/>
      <c r="E190" s="1075"/>
      <c r="F190" s="1075"/>
      <c r="G190" s="1075"/>
      <c r="H190" s="1075"/>
      <c r="I190" s="1076"/>
      <c r="J190" s="850" t="s">
        <v>351</v>
      </c>
      <c r="K190" s="59"/>
      <c r="L190" s="342"/>
      <c r="M190" s="150"/>
      <c r="N190" s="924"/>
      <c r="O190" s="150"/>
      <c r="P190" s="137"/>
    </row>
    <row r="191" spans="1:16" s="151" customFormat="1" ht="18" customHeight="1" x14ac:dyDescent="0.25">
      <c r="A191" s="1074" t="s">
        <v>323</v>
      </c>
      <c r="B191" s="1075"/>
      <c r="C191" s="1075"/>
      <c r="D191" s="1075"/>
      <c r="E191" s="1075"/>
      <c r="F191" s="1075"/>
      <c r="G191" s="1075"/>
      <c r="H191" s="1075"/>
      <c r="I191" s="1076"/>
      <c r="J191" s="850" t="s">
        <v>352</v>
      </c>
      <c r="K191" s="59"/>
      <c r="L191" s="342"/>
      <c r="M191" s="150"/>
      <c r="N191" s="924"/>
      <c r="O191" s="150"/>
      <c r="P191" s="137"/>
    </row>
    <row r="192" spans="1:16" s="151" customFormat="1" ht="36" customHeight="1" x14ac:dyDescent="0.25">
      <c r="A192" s="1074" t="s">
        <v>211</v>
      </c>
      <c r="B192" s="1075"/>
      <c r="C192" s="1075"/>
      <c r="D192" s="1075"/>
      <c r="E192" s="1075"/>
      <c r="F192" s="1075"/>
      <c r="G192" s="1075"/>
      <c r="H192" s="1075"/>
      <c r="I192" s="1076"/>
      <c r="J192" s="870" t="s">
        <v>366</v>
      </c>
      <c r="K192" s="118"/>
      <c r="L192" s="342"/>
      <c r="M192" s="150"/>
      <c r="N192" s="924"/>
      <c r="O192" s="150"/>
      <c r="P192" s="137"/>
    </row>
    <row r="193" spans="1:16" s="151" customFormat="1" ht="15" customHeight="1" x14ac:dyDescent="0.25">
      <c r="A193" s="1074" t="s">
        <v>212</v>
      </c>
      <c r="B193" s="1075"/>
      <c r="C193" s="1075"/>
      <c r="D193" s="1075"/>
      <c r="E193" s="1075"/>
      <c r="F193" s="1075"/>
      <c r="G193" s="1075"/>
      <c r="H193" s="1075"/>
      <c r="I193" s="1076"/>
      <c r="J193" s="860" t="s">
        <v>353</v>
      </c>
      <c r="K193" s="118"/>
      <c r="L193" s="342"/>
      <c r="M193" s="150"/>
      <c r="N193" s="924"/>
      <c r="O193" s="150"/>
      <c r="P193" s="137"/>
    </row>
    <row r="194" spans="1:16" s="151" customFormat="1" ht="15" customHeight="1" x14ac:dyDescent="0.25">
      <c r="A194" s="1080" t="s">
        <v>372</v>
      </c>
      <c r="B194" s="1081"/>
      <c r="C194" s="1081"/>
      <c r="D194" s="1081"/>
      <c r="E194" s="1081"/>
      <c r="F194" s="1081"/>
      <c r="G194" s="1081"/>
      <c r="H194" s="1081"/>
      <c r="I194" s="1082"/>
      <c r="J194" s="352"/>
      <c r="K194" s="60"/>
      <c r="L194" s="342"/>
      <c r="M194" s="150"/>
      <c r="N194" s="924"/>
      <c r="O194" s="150"/>
      <c r="P194" s="137"/>
    </row>
    <row r="195" spans="1:16" s="151" customFormat="1" ht="15" customHeight="1" x14ac:dyDescent="0.25">
      <c r="A195" s="1080" t="s">
        <v>367</v>
      </c>
      <c r="B195" s="1081"/>
      <c r="C195" s="1081"/>
      <c r="D195" s="1081"/>
      <c r="E195" s="1081"/>
      <c r="F195" s="1081"/>
      <c r="G195" s="1081"/>
      <c r="H195" s="1081"/>
      <c r="I195" s="1082"/>
      <c r="J195" s="352"/>
      <c r="K195" s="60">
        <f>K182+K184-K189-K194</f>
        <v>588026351.10000002</v>
      </c>
      <c r="L195" s="342"/>
      <c r="M195" s="150"/>
      <c r="N195" s="924"/>
      <c r="O195" s="150"/>
      <c r="P195" s="137"/>
    </row>
    <row r="196" spans="1:16" s="151" customFormat="1" ht="21.75" customHeight="1" x14ac:dyDescent="0.25">
      <c r="A196" s="147"/>
      <c r="B196" s="146"/>
      <c r="C196" s="147"/>
      <c r="D196" s="146"/>
      <c r="E196" s="169"/>
      <c r="F196" s="805"/>
      <c r="G196" s="427"/>
      <c r="H196" s="148"/>
      <c r="I196" s="149"/>
      <c r="J196" s="522"/>
      <c r="K196" s="522"/>
      <c r="L196" s="522"/>
      <c r="M196" s="150"/>
      <c r="N196" s="924"/>
      <c r="O196" s="150"/>
      <c r="P196" s="137"/>
    </row>
    <row r="197" spans="1:16" s="151" customFormat="1" ht="15" customHeight="1" x14ac:dyDescent="0.25">
      <c r="A197" s="1066" t="s">
        <v>182</v>
      </c>
      <c r="B197" s="1066"/>
      <c r="C197" s="1066"/>
      <c r="D197" s="1066"/>
      <c r="E197" s="1066"/>
      <c r="F197" s="1066"/>
      <c r="G197" s="1066"/>
      <c r="H197" s="1066"/>
      <c r="I197" s="1066"/>
      <c r="J197" s="1066"/>
      <c r="K197" s="1066"/>
      <c r="L197" s="1066"/>
      <c r="M197" s="140"/>
      <c r="N197" s="924"/>
      <c r="O197" s="150"/>
      <c r="P197" s="137"/>
    </row>
    <row r="198" spans="1:16" s="151" customFormat="1" ht="15" customHeight="1" x14ac:dyDescent="0.25">
      <c r="A198" s="418"/>
      <c r="B198" s="418"/>
      <c r="C198" s="432"/>
      <c r="D198" s="418"/>
      <c r="E198" s="484"/>
      <c r="F198" s="806"/>
      <c r="G198" s="418"/>
      <c r="H198" s="432"/>
      <c r="I198" s="418"/>
      <c r="J198" s="418"/>
      <c r="K198" s="418"/>
      <c r="L198" s="523"/>
      <c r="M198" s="140"/>
      <c r="N198" s="924"/>
      <c r="O198" s="150"/>
      <c r="P198" s="137"/>
    </row>
    <row r="199" spans="1:16" s="151" customFormat="1" ht="15" customHeight="1" x14ac:dyDescent="0.25">
      <c r="A199" s="141"/>
      <c r="B199" s="141"/>
      <c r="C199" s="431"/>
      <c r="D199" s="157" t="s">
        <v>1014</v>
      </c>
      <c r="E199" s="174"/>
      <c r="F199" s="807"/>
      <c r="G199" s="157"/>
      <c r="H199" s="450"/>
      <c r="I199" s="158"/>
      <c r="J199" s="523"/>
      <c r="K199" s="523"/>
      <c r="L199" s="523"/>
      <c r="M199" s="140"/>
      <c r="N199" s="924"/>
      <c r="O199" s="150"/>
      <c r="P199" s="137"/>
    </row>
    <row r="200" spans="1:16" s="151" customFormat="1" ht="18.75" customHeight="1" x14ac:dyDescent="0.25">
      <c r="A200" s="1067"/>
      <c r="B200" s="1067"/>
      <c r="C200" s="1067"/>
      <c r="D200" s="1067"/>
      <c r="E200" s="1067"/>
      <c r="F200" s="1067"/>
      <c r="G200" s="1067"/>
      <c r="H200" s="1067"/>
      <c r="I200" s="1067"/>
      <c r="J200" s="342"/>
      <c r="K200" s="342"/>
      <c r="L200" s="342"/>
      <c r="M200" s="599"/>
      <c r="N200" s="924"/>
      <c r="O200" s="150"/>
      <c r="P200" s="137"/>
    </row>
    <row r="201" spans="1:16" s="182" customFormat="1" ht="66.75" customHeight="1" x14ac:dyDescent="0.2">
      <c r="A201" s="1061" t="s">
        <v>375</v>
      </c>
      <c r="B201" s="1061"/>
      <c r="C201" s="1068" t="s">
        <v>374</v>
      </c>
      <c r="D201" s="1068"/>
      <c r="E201" s="1068"/>
      <c r="F201" s="1069" t="s">
        <v>373</v>
      </c>
      <c r="G201" s="1069"/>
      <c r="H201" s="1069"/>
      <c r="I201" s="1070"/>
      <c r="J201" s="566" t="s">
        <v>156</v>
      </c>
      <c r="K201" s="556" t="s">
        <v>281</v>
      </c>
      <c r="L201" s="567" t="s">
        <v>157</v>
      </c>
      <c r="M201" s="600"/>
      <c r="N201" s="140"/>
      <c r="O201" s="140"/>
      <c r="P201" s="140"/>
    </row>
    <row r="202" spans="1:16" s="182" customFormat="1" ht="21.75" customHeight="1" x14ac:dyDescent="0.2">
      <c r="A202" s="1062">
        <v>1</v>
      </c>
      <c r="B202" s="1062"/>
      <c r="C202" s="1063" t="s">
        <v>249</v>
      </c>
      <c r="D202" s="1063"/>
      <c r="E202" s="1063"/>
      <c r="F202" s="451" t="s">
        <v>558</v>
      </c>
      <c r="G202" s="420"/>
      <c r="H202" s="451"/>
      <c r="I202" s="160"/>
      <c r="J202" s="353">
        <f>SUMIF($D$234:$D$2266,1101,(J$234:J$2269))</f>
        <v>52749000</v>
      </c>
      <c r="K202" s="353">
        <f>SUMIF($D$447:$D$2232,1101,(K$447:K$2237))</f>
        <v>0</v>
      </c>
      <c r="L202" s="353">
        <f>SUM(J202:K202)</f>
        <v>52749000</v>
      </c>
      <c r="M202" s="184"/>
      <c r="N202" s="140"/>
      <c r="O202" s="140"/>
      <c r="P202" s="140"/>
    </row>
    <row r="203" spans="1:16" s="182" customFormat="1" ht="21" customHeight="1" x14ac:dyDescent="0.2">
      <c r="A203" s="1062">
        <v>2</v>
      </c>
      <c r="B203" s="1062"/>
      <c r="C203" s="1063" t="s">
        <v>454</v>
      </c>
      <c r="D203" s="1063"/>
      <c r="E203" s="1063"/>
      <c r="F203" s="451" t="s">
        <v>559</v>
      </c>
      <c r="G203" s="420"/>
      <c r="H203" s="451"/>
      <c r="I203" s="160"/>
      <c r="J203" s="353">
        <f>SUMIF($D$234:$D$2266,1102,(J$234:J$2269))</f>
        <v>635145184.92999995</v>
      </c>
      <c r="K203" s="353">
        <f>SUMIF($D$447:$D$2232,1102,(K$447:K$2237))</f>
        <v>0</v>
      </c>
      <c r="L203" s="353">
        <f t="shared" ref="L203:L218" si="15">SUM(J203:K203)</f>
        <v>635145184.92999995</v>
      </c>
      <c r="M203" s="184"/>
      <c r="N203" s="140"/>
      <c r="O203" s="140"/>
      <c r="P203" s="140"/>
    </row>
    <row r="204" spans="1:16" s="151" customFormat="1" ht="20.25" customHeight="1" x14ac:dyDescent="0.25">
      <c r="A204" s="1062">
        <v>3</v>
      </c>
      <c r="B204" s="1062"/>
      <c r="C204" s="1063" t="s">
        <v>253</v>
      </c>
      <c r="D204" s="1063"/>
      <c r="E204" s="1063"/>
      <c r="F204" s="451" t="s">
        <v>378</v>
      </c>
      <c r="G204" s="420"/>
      <c r="H204" s="451"/>
      <c r="I204" s="160"/>
      <c r="J204" s="353">
        <f>SUMIF($D$234:$D$2266,1501,(J$234:J$2269))</f>
        <v>138738431</v>
      </c>
      <c r="K204" s="353">
        <f>SUMIF($D$454:$D$2232,1501,(K$454:K$2237))</f>
        <v>0</v>
      </c>
      <c r="L204" s="353">
        <f t="shared" si="15"/>
        <v>138738431</v>
      </c>
      <c r="M204" s="184"/>
      <c r="N204" s="924"/>
      <c r="O204" s="150"/>
      <c r="P204" s="137"/>
    </row>
    <row r="205" spans="1:16" s="151" customFormat="1" ht="21.75" customHeight="1" x14ac:dyDescent="0.25">
      <c r="A205" s="1062">
        <v>4</v>
      </c>
      <c r="B205" s="1062"/>
      <c r="C205" s="1063" t="s">
        <v>377</v>
      </c>
      <c r="D205" s="1063"/>
      <c r="E205" s="1063"/>
      <c r="F205" s="451" t="s">
        <v>376</v>
      </c>
      <c r="G205" s="420"/>
      <c r="H205" s="451"/>
      <c r="I205" s="160"/>
      <c r="J205" s="353">
        <f>SUMIF($D$234:$D$2266,1502,(J$234:J$2269))</f>
        <v>21118300</v>
      </c>
      <c r="K205" s="353">
        <f>SUMIF($D$454:$D$2232,1502,(K$454:K$2237))</f>
        <v>282000</v>
      </c>
      <c r="L205" s="353">
        <f t="shared" si="15"/>
        <v>21400300</v>
      </c>
      <c r="M205" s="184"/>
      <c r="N205" s="924"/>
      <c r="O205" s="150"/>
      <c r="P205" s="137"/>
    </row>
    <row r="206" spans="1:16" s="151" customFormat="1" ht="20.100000000000001" customHeight="1" x14ac:dyDescent="0.25">
      <c r="A206" s="1062">
        <v>5</v>
      </c>
      <c r="B206" s="1062"/>
      <c r="C206" s="1063" t="s">
        <v>254</v>
      </c>
      <c r="D206" s="1063"/>
      <c r="E206" s="1063"/>
      <c r="F206" s="451" t="s">
        <v>560</v>
      </c>
      <c r="G206" s="420"/>
      <c r="H206" s="451"/>
      <c r="I206" s="160"/>
      <c r="J206" s="353">
        <f>SUMIF($D$234:$D$2266,101,(J$234:J$2269))</f>
        <v>249474825</v>
      </c>
      <c r="K206" s="353">
        <f>SUMIF($D$454:$D$2232,101,(K$454:K$2237))</f>
        <v>0</v>
      </c>
      <c r="L206" s="353">
        <f t="shared" si="15"/>
        <v>249474825</v>
      </c>
      <c r="M206" s="184"/>
      <c r="N206" s="924"/>
      <c r="O206" s="150"/>
      <c r="P206" s="137"/>
    </row>
    <row r="207" spans="1:16" s="151" customFormat="1" ht="20.100000000000001" customHeight="1" x14ac:dyDescent="0.25">
      <c r="A207" s="1062">
        <v>6</v>
      </c>
      <c r="B207" s="1062"/>
      <c r="C207" s="1063" t="s">
        <v>257</v>
      </c>
      <c r="D207" s="1063"/>
      <c r="E207" s="1063"/>
      <c r="F207" s="451" t="s">
        <v>379</v>
      </c>
      <c r="G207" s="420"/>
      <c r="H207" s="451"/>
      <c r="I207" s="160"/>
      <c r="J207" s="353">
        <f>SUMIF($D$234:$D$2266,401,(J$234:J$2269))</f>
        <v>97273113.799999997</v>
      </c>
      <c r="K207" s="353">
        <f>SUMIF($D$454:$D$2232,401,(K$454:K$2237))</f>
        <v>0</v>
      </c>
      <c r="L207" s="353">
        <f t="shared" si="15"/>
        <v>97273113.799999997</v>
      </c>
      <c r="M207" s="184"/>
      <c r="N207" s="924"/>
      <c r="O207" s="150"/>
      <c r="P207" s="137"/>
    </row>
    <row r="208" spans="1:16" s="151" customFormat="1" ht="20.100000000000001" customHeight="1" x14ac:dyDescent="0.25">
      <c r="A208" s="1062">
        <v>7</v>
      </c>
      <c r="B208" s="1062"/>
      <c r="C208" s="1063" t="s">
        <v>251</v>
      </c>
      <c r="D208" s="1063"/>
      <c r="E208" s="1063"/>
      <c r="F208" s="451" t="s">
        <v>561</v>
      </c>
      <c r="G208" s="420"/>
      <c r="H208" s="451"/>
      <c r="I208" s="160"/>
      <c r="J208" s="353">
        <f>SUMIF($D$234:$D$2266,701,(J$234:J$2269))</f>
        <v>1750015236.01</v>
      </c>
      <c r="K208" s="353">
        <f>SUMIF($D$454:$D$2232,701,(K$454:K$2237))</f>
        <v>0</v>
      </c>
      <c r="L208" s="353">
        <f t="shared" si="15"/>
        <v>1750015236.01</v>
      </c>
      <c r="M208" s="184"/>
      <c r="N208" s="924"/>
      <c r="O208" s="150"/>
      <c r="P208" s="137"/>
    </row>
    <row r="209" spans="1:16" s="151" customFormat="1" ht="20.100000000000001" customHeight="1" x14ac:dyDescent="0.25">
      <c r="A209" s="1062">
        <v>8</v>
      </c>
      <c r="B209" s="1062"/>
      <c r="C209" s="1063" t="s">
        <v>380</v>
      </c>
      <c r="D209" s="1063"/>
      <c r="E209" s="1063"/>
      <c r="F209" s="451" t="s">
        <v>562</v>
      </c>
      <c r="G209" s="420"/>
      <c r="H209" s="451"/>
      <c r="I209" s="160"/>
      <c r="J209" s="353">
        <f>SUMIF($D$234:$D$2266,2001,(J$234:J$2269))</f>
        <v>430523100</v>
      </c>
      <c r="K209" s="353">
        <f>SUMIF($D$454:$D$2232,2001,(K$454:K$2237))</f>
        <v>10500000</v>
      </c>
      <c r="L209" s="353">
        <f t="shared" si="15"/>
        <v>441023100</v>
      </c>
      <c r="M209" s="184"/>
      <c r="N209" s="924"/>
      <c r="O209" s="150"/>
      <c r="P209" s="137"/>
    </row>
    <row r="210" spans="1:16" s="151" customFormat="1" ht="20.100000000000001" customHeight="1" x14ac:dyDescent="0.25">
      <c r="A210" s="1062">
        <v>9</v>
      </c>
      <c r="B210" s="1062"/>
      <c r="C210" s="1063" t="s">
        <v>381</v>
      </c>
      <c r="D210" s="1063"/>
      <c r="E210" s="1063"/>
      <c r="F210" s="451" t="s">
        <v>563</v>
      </c>
      <c r="G210" s="420"/>
      <c r="H210" s="451"/>
      <c r="I210" s="160"/>
      <c r="J210" s="353">
        <f>SUMIF($D$234:$D$2266,2002,(J$234:J$2269))</f>
        <v>191375000</v>
      </c>
      <c r="K210" s="353">
        <f>SUMIF($D$454:$D$2232,2002,(K$454:K$2237))</f>
        <v>0</v>
      </c>
      <c r="L210" s="353">
        <f t="shared" si="15"/>
        <v>191375000</v>
      </c>
      <c r="M210" s="184"/>
      <c r="N210" s="924"/>
      <c r="O210" s="150"/>
      <c r="P210" s="137"/>
    </row>
    <row r="211" spans="1:16" s="151" customFormat="1" ht="20.100000000000001" customHeight="1" x14ac:dyDescent="0.25">
      <c r="A211" s="1062">
        <v>10</v>
      </c>
      <c r="B211" s="1062"/>
      <c r="C211" s="1063" t="s">
        <v>382</v>
      </c>
      <c r="D211" s="1063"/>
      <c r="E211" s="1063"/>
      <c r="F211" s="451" t="s">
        <v>564</v>
      </c>
      <c r="G211" s="420"/>
      <c r="H211" s="451"/>
      <c r="I211" s="160"/>
      <c r="J211" s="353">
        <f>SUMIF($D$234:$D$2266,2003,(J$234:J$2269))</f>
        <v>65003651.049999997</v>
      </c>
      <c r="K211" s="353">
        <f>SUMIF($D$454:$D$2232,2003,(K$454:K$2237))</f>
        <v>0</v>
      </c>
      <c r="L211" s="353">
        <f t="shared" si="15"/>
        <v>65003651.049999997</v>
      </c>
      <c r="M211" s="184"/>
      <c r="N211" s="924"/>
      <c r="O211" s="150"/>
      <c r="P211" s="137"/>
    </row>
    <row r="212" spans="1:16" s="151" customFormat="1" ht="20.100000000000001" customHeight="1" x14ac:dyDescent="0.25">
      <c r="A212" s="1062">
        <v>11</v>
      </c>
      <c r="B212" s="1062"/>
      <c r="C212" s="1063" t="s">
        <v>242</v>
      </c>
      <c r="D212" s="1063"/>
      <c r="E212" s="1063"/>
      <c r="F212" s="451" t="s">
        <v>383</v>
      </c>
      <c r="G212" s="420"/>
      <c r="H212" s="451"/>
      <c r="I212" s="160"/>
      <c r="J212" s="353">
        <f>SUMIF($D$234:$D$2266,901,(J$234:J$2269))</f>
        <v>222710000</v>
      </c>
      <c r="K212" s="353">
        <f>SUMIF($D$454:$D$2232,901,(K$454:K$2237))</f>
        <v>0</v>
      </c>
      <c r="L212" s="353">
        <f t="shared" si="15"/>
        <v>222710000</v>
      </c>
      <c r="M212" s="184"/>
      <c r="N212" s="924"/>
      <c r="O212" s="150"/>
      <c r="P212" s="137"/>
    </row>
    <row r="213" spans="1:16" s="151" customFormat="1" ht="20.100000000000001" customHeight="1" x14ac:dyDescent="0.25">
      <c r="A213" s="1062">
        <v>12</v>
      </c>
      <c r="B213" s="1062"/>
      <c r="C213" s="1063" t="s">
        <v>247</v>
      </c>
      <c r="D213" s="1063"/>
      <c r="E213" s="1063"/>
      <c r="F213" s="451" t="s">
        <v>565</v>
      </c>
      <c r="G213" s="420"/>
      <c r="H213" s="451"/>
      <c r="I213" s="160"/>
      <c r="J213" s="353">
        <f>SUMIF($D$234:$D$2266,1801,(J$234:J$2269))</f>
        <v>232961000</v>
      </c>
      <c r="K213" s="353">
        <f>SUMIF($D$454:$D$2232,1801,(K$454:K$2237))</f>
        <v>0</v>
      </c>
      <c r="L213" s="353">
        <f t="shared" si="15"/>
        <v>232961000</v>
      </c>
      <c r="M213" s="184"/>
      <c r="N213" s="924"/>
      <c r="O213" s="150"/>
      <c r="P213" s="137"/>
    </row>
    <row r="214" spans="1:16" s="151" customFormat="1" ht="20.100000000000001" customHeight="1" x14ac:dyDescent="0.25">
      <c r="A214" s="1062">
        <v>13</v>
      </c>
      <c r="B214" s="1062"/>
      <c r="C214" s="1063" t="s">
        <v>384</v>
      </c>
      <c r="D214" s="1063"/>
      <c r="E214" s="1063"/>
      <c r="F214" s="451" t="s">
        <v>566</v>
      </c>
      <c r="G214" s="420"/>
      <c r="H214" s="451"/>
      <c r="I214" s="160"/>
      <c r="J214" s="353">
        <f>SUMIF($D$234:$D$2266,1201,(J$234:J$2269))</f>
        <v>175559600</v>
      </c>
      <c r="K214" s="353">
        <f>SUMIF($D$454:$D$2232,1201,(K$454:K$2237))</f>
        <v>15916050</v>
      </c>
      <c r="L214" s="353">
        <f t="shared" si="15"/>
        <v>191475650</v>
      </c>
      <c r="M214" s="184"/>
      <c r="N214" s="924"/>
      <c r="O214" s="150"/>
      <c r="P214" s="137"/>
    </row>
    <row r="215" spans="1:16" s="151" customFormat="1" ht="20.100000000000001" customHeight="1" x14ac:dyDescent="0.25">
      <c r="A215" s="1062">
        <v>14</v>
      </c>
      <c r="B215" s="1062"/>
      <c r="C215" s="1063" t="s">
        <v>240</v>
      </c>
      <c r="D215" s="1063"/>
      <c r="E215" s="1063"/>
      <c r="F215" s="451" t="s">
        <v>385</v>
      </c>
      <c r="G215" s="420"/>
      <c r="H215" s="451"/>
      <c r="I215" s="160"/>
      <c r="J215" s="353">
        <f>SUMIF($D$234:$D$2266,1301,(J$234:J$2269))</f>
        <v>671249479.59000003</v>
      </c>
      <c r="K215" s="353">
        <f>SUMIF($D$454:$D$2232,1301,(K$454:K$2237))</f>
        <v>0</v>
      </c>
      <c r="L215" s="353">
        <f t="shared" si="15"/>
        <v>671249479.59000003</v>
      </c>
      <c r="M215" s="184"/>
      <c r="N215" s="924"/>
      <c r="O215" s="150"/>
      <c r="P215" s="137"/>
    </row>
    <row r="216" spans="1:16" s="151" customFormat="1" ht="20.100000000000001" customHeight="1" x14ac:dyDescent="0.25">
      <c r="A216" s="1062">
        <v>15</v>
      </c>
      <c r="B216" s="1062"/>
      <c r="C216" s="1063" t="s">
        <v>239</v>
      </c>
      <c r="D216" s="1063"/>
      <c r="E216" s="1063"/>
      <c r="F216" s="451" t="s">
        <v>567</v>
      </c>
      <c r="G216" s="420"/>
      <c r="H216" s="451"/>
      <c r="I216" s="160"/>
      <c r="J216" s="353">
        <f>SUMIF($D$234:$D$2266,602,(J$234:J$2269))</f>
        <v>753174074.62</v>
      </c>
      <c r="K216" s="353">
        <f>SUMIF($D$454:$D$2232,602,(K$454:K$2237))</f>
        <v>0</v>
      </c>
      <c r="L216" s="353">
        <f t="shared" si="15"/>
        <v>753174074.62</v>
      </c>
      <c r="M216" s="184"/>
      <c r="N216" s="924"/>
      <c r="O216" s="150"/>
      <c r="P216" s="137"/>
    </row>
    <row r="217" spans="1:16" s="151" customFormat="1" ht="20.100000000000001" customHeight="1" x14ac:dyDescent="0.25">
      <c r="A217" s="1062">
        <v>16</v>
      </c>
      <c r="B217" s="1062"/>
      <c r="C217" s="1063" t="s">
        <v>429</v>
      </c>
      <c r="D217" s="1063"/>
      <c r="E217" s="1063"/>
      <c r="F217" s="1064" t="s">
        <v>568</v>
      </c>
      <c r="G217" s="1064"/>
      <c r="H217" s="1064"/>
      <c r="I217" s="1065"/>
      <c r="J217" s="353">
        <f>SUMIF($D$234:$D$2266,2101,(J$234:J$2269))</f>
        <v>93953700</v>
      </c>
      <c r="K217" s="353">
        <f>SUMIF($D$454:$D$2232,2101,(K$454:K$2237))</f>
        <v>0</v>
      </c>
      <c r="L217" s="353">
        <f t="shared" si="15"/>
        <v>93953700</v>
      </c>
      <c r="M217" s="184"/>
      <c r="N217" s="924"/>
      <c r="O217" s="150"/>
      <c r="P217" s="137"/>
    </row>
    <row r="218" spans="1:16" s="151" customFormat="1" ht="20.100000000000001" customHeight="1" x14ac:dyDescent="0.25">
      <c r="A218" s="1062">
        <v>17</v>
      </c>
      <c r="B218" s="1062"/>
      <c r="C218" s="1063" t="s">
        <v>557</v>
      </c>
      <c r="D218" s="1063"/>
      <c r="E218" s="1063"/>
      <c r="F218" s="452" t="s">
        <v>569</v>
      </c>
      <c r="G218" s="209"/>
      <c r="H218" s="452"/>
      <c r="I218" s="161"/>
      <c r="J218" s="353">
        <f>SUMIF($D$234:$D$2266,501,(J$234:J$2269))</f>
        <v>114476304</v>
      </c>
      <c r="K218" s="353">
        <f>SUMIF($D$454:$D$2232,501,(K$454:K$2237))</f>
        <v>0</v>
      </c>
      <c r="L218" s="353">
        <f t="shared" si="15"/>
        <v>114476304</v>
      </c>
      <c r="M218" s="184"/>
      <c r="N218" s="924"/>
      <c r="O218" s="150"/>
      <c r="P218" s="137"/>
    </row>
    <row r="219" spans="1:16" s="151" customFormat="1" ht="20.100000000000001" customHeight="1" x14ac:dyDescent="0.25">
      <c r="A219" s="1112"/>
      <c r="B219" s="1112"/>
      <c r="C219" s="1112"/>
      <c r="D219" s="1112"/>
      <c r="E219" s="1112"/>
      <c r="F219" s="1113" t="s">
        <v>410</v>
      </c>
      <c r="G219" s="1113"/>
      <c r="H219" s="1113"/>
      <c r="I219" s="1114"/>
      <c r="J219" s="354">
        <f>SUM(J202:J218)</f>
        <v>5895500000</v>
      </c>
      <c r="K219" s="355">
        <f t="shared" ref="K219" si="16">SUM(K202:K218)</f>
        <v>26698050</v>
      </c>
      <c r="L219" s="355">
        <f>SUM(L202:L218)</f>
        <v>5922198050</v>
      </c>
      <c r="M219" s="925"/>
      <c r="N219" s="924"/>
      <c r="O219" s="150"/>
      <c r="P219" s="137"/>
    </row>
    <row r="220" spans="1:16" s="151" customFormat="1" ht="20.100000000000001" customHeight="1" x14ac:dyDescent="0.25">
      <c r="A220" s="601"/>
      <c r="B220" s="601"/>
      <c r="C220" s="602"/>
      <c r="D220" s="601"/>
      <c r="E220" s="603"/>
      <c r="F220" s="805"/>
      <c r="G220" s="604"/>
      <c r="H220" s="148"/>
      <c r="I220" s="263"/>
      <c r="J220" s="522"/>
      <c r="K220" s="250"/>
      <c r="L220" s="250"/>
      <c r="M220" s="150"/>
      <c r="N220" s="924"/>
      <c r="O220" s="150"/>
      <c r="P220" s="137"/>
    </row>
    <row r="221" spans="1:16" s="86" customFormat="1" ht="30" customHeight="1" x14ac:dyDescent="0.2">
      <c r="A221" s="427"/>
      <c r="B221" s="427"/>
      <c r="C221" s="147"/>
      <c r="D221" s="605"/>
      <c r="E221" s="169"/>
      <c r="F221" s="805"/>
      <c r="G221" s="427"/>
      <c r="H221" s="606"/>
      <c r="I221" s="607"/>
      <c r="J221" s="500"/>
      <c r="K221" s="500"/>
      <c r="L221" s="500"/>
      <c r="M221" s="154"/>
      <c r="N221" s="926"/>
      <c r="O221" s="154"/>
      <c r="P221" s="140"/>
    </row>
    <row r="222" spans="1:16" s="167" customFormat="1" ht="20.100000000000001" customHeight="1" x14ac:dyDescent="0.2">
      <c r="A222" s="1104" t="s">
        <v>213</v>
      </c>
      <c r="B222" s="1104"/>
      <c r="C222" s="1104"/>
      <c r="D222" s="1104"/>
      <c r="E222" s="1104"/>
      <c r="F222" s="1104"/>
      <c r="G222" s="1104"/>
      <c r="H222" s="1104"/>
      <c r="I222" s="1104"/>
      <c r="J222" s="1104"/>
      <c r="K222" s="1104"/>
      <c r="L222" s="1104"/>
      <c r="M222" s="17"/>
      <c r="N222" s="917"/>
      <c r="O222" s="17"/>
      <c r="P222" s="163"/>
    </row>
    <row r="223" spans="1:16" s="167" customFormat="1" ht="20.100000000000001" customHeight="1" x14ac:dyDescent="0.2">
      <c r="A223" s="168"/>
      <c r="B223" s="168"/>
      <c r="C223" s="433"/>
      <c r="D223" s="168"/>
      <c r="E223" s="169"/>
      <c r="F223" s="116"/>
      <c r="G223" s="168"/>
      <c r="H223" s="116"/>
      <c r="I223" s="170"/>
      <c r="J223" s="20"/>
      <c r="K223" s="20"/>
      <c r="L223" s="366"/>
      <c r="M223" s="17"/>
      <c r="N223" s="917"/>
      <c r="O223" s="17"/>
      <c r="P223" s="163"/>
    </row>
    <row r="224" spans="1:16" s="167" customFormat="1" ht="28.5" customHeight="1" x14ac:dyDescent="0.2">
      <c r="A224" s="1105" t="s">
        <v>183</v>
      </c>
      <c r="B224" s="1105"/>
      <c r="C224" s="1105"/>
      <c r="D224" s="1105"/>
      <c r="E224" s="1105"/>
      <c r="F224" s="1105"/>
      <c r="G224" s="1105"/>
      <c r="H224" s="1105"/>
      <c r="I224" s="1105"/>
      <c r="J224" s="1105"/>
      <c r="K224" s="1105"/>
      <c r="L224" s="1105"/>
      <c r="M224" s="163"/>
      <c r="N224" s="917"/>
      <c r="O224" s="17"/>
      <c r="P224" s="163"/>
    </row>
    <row r="225" spans="1:16" s="167" customFormat="1" ht="12.75" x14ac:dyDescent="0.2">
      <c r="A225" s="171"/>
      <c r="B225" s="171"/>
      <c r="C225" s="434"/>
      <c r="D225" s="171"/>
      <c r="E225" s="171"/>
      <c r="F225" s="453"/>
      <c r="G225" s="171"/>
      <c r="H225" s="453"/>
      <c r="I225" s="173"/>
      <c r="J225" s="172"/>
      <c r="K225" s="172"/>
      <c r="L225" s="550"/>
      <c r="M225" s="163"/>
      <c r="N225" s="917"/>
      <c r="O225" s="17"/>
      <c r="P225" s="163"/>
    </row>
    <row r="226" spans="1:16" s="167" customFormat="1" x14ac:dyDescent="0.2">
      <c r="A226" s="171"/>
      <c r="B226" s="171"/>
      <c r="C226" s="435"/>
      <c r="D226" s="174" t="s">
        <v>1066</v>
      </c>
      <c r="E226" s="175"/>
      <c r="F226" s="454"/>
      <c r="G226" s="175"/>
      <c r="H226" s="454"/>
      <c r="I226" s="176"/>
      <c r="J226" s="177"/>
      <c r="K226" s="177"/>
      <c r="L226" s="550"/>
      <c r="M226" s="163"/>
      <c r="N226" s="917"/>
      <c r="O226" s="17"/>
      <c r="P226" s="163"/>
    </row>
    <row r="227" spans="1:16" x14ac:dyDescent="0.2">
      <c r="A227" s="174" t="s">
        <v>1015</v>
      </c>
      <c r="B227" s="171"/>
      <c r="C227" s="435"/>
      <c r="D227" s="178"/>
      <c r="E227" s="175"/>
      <c r="F227" s="454"/>
      <c r="G227" s="175"/>
      <c r="H227" s="454"/>
      <c r="I227" s="176"/>
      <c r="J227" s="177"/>
      <c r="K227" s="177"/>
      <c r="L227" s="550"/>
      <c r="M227" s="163"/>
    </row>
    <row r="228" spans="1:16" x14ac:dyDescent="0.2">
      <c r="A228" s="429"/>
      <c r="B228" s="429"/>
      <c r="C228" s="429"/>
      <c r="D228" s="590"/>
      <c r="E228" s="25"/>
      <c r="F228" s="429"/>
      <c r="G228" s="24"/>
      <c r="H228" s="429"/>
      <c r="I228" s="608"/>
      <c r="J228" s="565"/>
      <c r="K228" s="565"/>
      <c r="L228" s="565"/>
      <c r="N228" s="163"/>
      <c r="O228" s="163"/>
    </row>
    <row r="229" spans="1:16" ht="107.25" x14ac:dyDescent="0.2">
      <c r="A229" s="499" t="s">
        <v>27</v>
      </c>
      <c r="B229" s="499" t="s">
        <v>28</v>
      </c>
      <c r="C229" s="575" t="s">
        <v>29</v>
      </c>
      <c r="D229" s="576" t="s">
        <v>286</v>
      </c>
      <c r="E229" s="833" t="s">
        <v>287</v>
      </c>
      <c r="F229" s="808" t="s">
        <v>30</v>
      </c>
      <c r="G229" s="543" t="s">
        <v>695</v>
      </c>
      <c r="H229" s="548" t="s">
        <v>0</v>
      </c>
      <c r="I229" s="568" t="s">
        <v>1</v>
      </c>
      <c r="J229" s="569" t="s">
        <v>660</v>
      </c>
      <c r="K229" s="570" t="s">
        <v>281</v>
      </c>
      <c r="L229" s="571" t="s">
        <v>157</v>
      </c>
      <c r="N229" s="163"/>
      <c r="O229" s="163"/>
    </row>
    <row r="230" spans="1:16" x14ac:dyDescent="0.2">
      <c r="A230" s="572">
        <v>1</v>
      </c>
      <c r="B230" s="572">
        <v>2</v>
      </c>
      <c r="C230" s="573">
        <v>3</v>
      </c>
      <c r="D230" s="572" t="s">
        <v>282</v>
      </c>
      <c r="E230" s="577" t="s">
        <v>283</v>
      </c>
      <c r="F230" s="117" t="s">
        <v>31</v>
      </c>
      <c r="G230" s="210" t="s">
        <v>284</v>
      </c>
      <c r="H230" s="117" t="s">
        <v>285</v>
      </c>
      <c r="I230" s="211" t="s">
        <v>696</v>
      </c>
      <c r="J230" s="356">
        <v>10</v>
      </c>
      <c r="K230" s="356">
        <v>11</v>
      </c>
      <c r="L230" s="356">
        <v>12</v>
      </c>
      <c r="N230" s="163"/>
      <c r="O230" s="163"/>
    </row>
    <row r="231" spans="1:16" x14ac:dyDescent="0.2">
      <c r="A231" s="212"/>
      <c r="B231" s="212"/>
      <c r="C231" s="574"/>
      <c r="D231" s="212"/>
      <c r="E231" s="211"/>
      <c r="F231" s="455"/>
      <c r="G231" s="213"/>
      <c r="H231" s="455"/>
      <c r="I231" s="213"/>
      <c r="J231" s="357"/>
      <c r="K231" s="357"/>
      <c r="L231" s="358"/>
      <c r="N231" s="163"/>
      <c r="O231" s="163"/>
    </row>
    <row r="232" spans="1:16" x14ac:dyDescent="0.2">
      <c r="A232" s="572"/>
      <c r="B232" s="572"/>
      <c r="C232" s="573"/>
      <c r="D232" s="572"/>
      <c r="E232" s="578"/>
      <c r="F232" s="456"/>
      <c r="G232" s="180"/>
      <c r="H232" s="456"/>
      <c r="I232" s="180"/>
      <c r="J232" s="359"/>
      <c r="K232" s="359"/>
      <c r="L232" s="360"/>
      <c r="N232" s="163"/>
      <c r="O232" s="163"/>
    </row>
    <row r="233" spans="1:16" x14ac:dyDescent="0.2">
      <c r="A233" s="609" t="s">
        <v>278</v>
      </c>
      <c r="B233" s="610"/>
      <c r="C233" s="609"/>
      <c r="D233" s="610"/>
      <c r="E233" s="611"/>
      <c r="F233" s="117"/>
      <c r="G233" s="169"/>
      <c r="H233" s="521"/>
      <c r="I233" s="612" t="s">
        <v>32</v>
      </c>
      <c r="J233" s="20"/>
      <c r="K233" s="20"/>
      <c r="L233" s="613"/>
      <c r="N233" s="163"/>
      <c r="O233" s="163"/>
    </row>
    <row r="234" spans="1:16" x14ac:dyDescent="0.2">
      <c r="A234" s="614"/>
      <c r="B234" s="614"/>
      <c r="C234" s="615"/>
      <c r="D234" s="616" t="s">
        <v>429</v>
      </c>
      <c r="E234" s="617"/>
      <c r="F234" s="618"/>
      <c r="G234" s="619"/>
      <c r="H234" s="620"/>
      <c r="I234" s="621" t="s">
        <v>428</v>
      </c>
      <c r="J234" s="622">
        <f>SUM(J253+J266)</f>
        <v>28860800</v>
      </c>
      <c r="K234" s="622"/>
      <c r="L234" s="622">
        <f t="shared" ref="L234" si="17">SUM(L253+L266)</f>
        <v>28860800</v>
      </c>
      <c r="N234" s="163"/>
      <c r="O234" s="163"/>
    </row>
    <row r="235" spans="1:16" x14ac:dyDescent="0.2">
      <c r="A235" s="623"/>
      <c r="B235" s="623"/>
      <c r="C235" s="624"/>
      <c r="D235" s="625"/>
      <c r="E235" s="626"/>
      <c r="F235" s="627"/>
      <c r="G235" s="628"/>
      <c r="H235" s="629"/>
      <c r="I235" s="266"/>
      <c r="J235" s="630"/>
      <c r="K235" s="630"/>
      <c r="L235" s="631"/>
      <c r="N235" s="163"/>
      <c r="O235" s="163"/>
    </row>
    <row r="236" spans="1:16" x14ac:dyDescent="0.2">
      <c r="A236" s="508"/>
      <c r="B236" s="508"/>
      <c r="C236" s="513"/>
      <c r="D236" s="519"/>
      <c r="E236" s="580"/>
      <c r="F236" s="632"/>
      <c r="G236" s="633"/>
      <c r="H236" s="634"/>
      <c r="I236" s="416" t="s">
        <v>272</v>
      </c>
      <c r="J236" s="635"/>
      <c r="K236" s="635"/>
      <c r="L236" s="636"/>
      <c r="N236" s="163"/>
      <c r="O236" s="163"/>
    </row>
    <row r="237" spans="1:16" x14ac:dyDescent="0.2">
      <c r="A237" s="508"/>
      <c r="B237" s="508"/>
      <c r="C237" s="513"/>
      <c r="D237" s="49"/>
      <c r="E237" s="580" t="s">
        <v>425</v>
      </c>
      <c r="F237" s="632"/>
      <c r="G237" s="633"/>
      <c r="H237" s="637"/>
      <c r="I237" s="417" t="s">
        <v>426</v>
      </c>
      <c r="J237" s="638"/>
      <c r="K237" s="638"/>
      <c r="L237" s="639"/>
      <c r="N237" s="163"/>
      <c r="O237" s="163"/>
    </row>
    <row r="238" spans="1:16" x14ac:dyDescent="0.2">
      <c r="A238" s="508"/>
      <c r="B238" s="508"/>
      <c r="C238" s="513"/>
      <c r="D238" s="436"/>
      <c r="E238" s="582"/>
      <c r="F238" s="116"/>
      <c r="G238" s="20"/>
      <c r="H238" s="640"/>
      <c r="I238" s="18"/>
      <c r="J238" s="20"/>
      <c r="K238" s="20"/>
      <c r="L238" s="613"/>
      <c r="N238" s="163"/>
      <c r="O238" s="163"/>
    </row>
    <row r="239" spans="1:16" ht="22.5" x14ac:dyDescent="0.2">
      <c r="A239" s="49"/>
      <c r="B239" s="49"/>
      <c r="C239" s="49">
        <v>110</v>
      </c>
      <c r="D239" s="506"/>
      <c r="E239" s="579"/>
      <c r="F239" s="22"/>
      <c r="G239" s="1"/>
      <c r="H239" s="22"/>
      <c r="I239" s="641" t="s">
        <v>289</v>
      </c>
      <c r="J239" s="76"/>
      <c r="K239" s="76"/>
      <c r="L239" s="368"/>
      <c r="N239" s="163"/>
      <c r="O239" s="163"/>
    </row>
    <row r="240" spans="1:16" x14ac:dyDescent="0.2">
      <c r="A240" s="49"/>
      <c r="B240" s="49"/>
      <c r="D240" s="506"/>
      <c r="E240" s="579"/>
      <c r="F240" s="429"/>
      <c r="G240" s="24"/>
      <c r="H240" s="429"/>
      <c r="I240" s="642"/>
      <c r="J240" s="643"/>
      <c r="K240" s="643"/>
      <c r="L240" s="644"/>
      <c r="N240" s="163"/>
      <c r="O240" s="163"/>
    </row>
    <row r="241" spans="1:15" x14ac:dyDescent="0.2">
      <c r="A241" s="519"/>
      <c r="B241" s="49"/>
      <c r="D241" s="519"/>
      <c r="E241" s="579"/>
      <c r="F241" s="311">
        <v>1</v>
      </c>
      <c r="G241" s="47"/>
      <c r="H241" s="311">
        <v>411</v>
      </c>
      <c r="I241" s="220" t="s">
        <v>2</v>
      </c>
      <c r="J241" s="59">
        <v>2672500</v>
      </c>
      <c r="K241" s="59"/>
      <c r="L241" s="59">
        <f t="shared" ref="L241:L252" si="18">SUM(J241+K241)</f>
        <v>2672500</v>
      </c>
      <c r="N241" s="163"/>
      <c r="O241" s="163"/>
    </row>
    <row r="242" spans="1:15" x14ac:dyDescent="0.2">
      <c r="A242" s="519"/>
      <c r="B242" s="49"/>
      <c r="D242" s="519"/>
      <c r="E242" s="579"/>
      <c r="F242" s="311">
        <v>2</v>
      </c>
      <c r="G242" s="47"/>
      <c r="H242" s="311">
        <v>412</v>
      </c>
      <c r="I242" s="270" t="s">
        <v>3</v>
      </c>
      <c r="J242" s="59">
        <v>459000</v>
      </c>
      <c r="K242" s="59"/>
      <c r="L242" s="59">
        <f t="shared" si="18"/>
        <v>459000</v>
      </c>
      <c r="N242" s="163"/>
      <c r="O242" s="163"/>
    </row>
    <row r="243" spans="1:15" x14ac:dyDescent="0.2">
      <c r="A243" s="519"/>
      <c r="B243" s="49"/>
      <c r="D243" s="519"/>
      <c r="E243" s="579"/>
      <c r="F243" s="311">
        <v>3</v>
      </c>
      <c r="G243" s="47"/>
      <c r="H243" s="311">
        <v>413</v>
      </c>
      <c r="I243" s="270" t="s">
        <v>33</v>
      </c>
      <c r="J243" s="59">
        <v>50000</v>
      </c>
      <c r="K243" s="59"/>
      <c r="L243" s="59">
        <f t="shared" si="18"/>
        <v>50000</v>
      </c>
      <c r="N243" s="163"/>
      <c r="O243" s="163"/>
    </row>
    <row r="244" spans="1:15" x14ac:dyDescent="0.2">
      <c r="A244" s="519"/>
      <c r="B244" s="49"/>
      <c r="D244" s="519"/>
      <c r="E244" s="579"/>
      <c r="F244" s="311">
        <v>4</v>
      </c>
      <c r="G244" s="47"/>
      <c r="H244" s="311">
        <v>414</v>
      </c>
      <c r="I244" s="220" t="s">
        <v>34</v>
      </c>
      <c r="J244" s="59">
        <v>200000</v>
      </c>
      <c r="K244" s="59"/>
      <c r="L244" s="59">
        <f t="shared" si="18"/>
        <v>200000</v>
      </c>
      <c r="N244" s="163"/>
      <c r="O244" s="163"/>
    </row>
    <row r="245" spans="1:15" x14ac:dyDescent="0.2">
      <c r="A245" s="519"/>
      <c r="B245" s="49"/>
      <c r="D245" s="519"/>
      <c r="E245" s="579"/>
      <c r="F245" s="311">
        <v>5</v>
      </c>
      <c r="G245" s="47"/>
      <c r="H245" s="311">
        <v>415</v>
      </c>
      <c r="I245" s="270" t="s">
        <v>5</v>
      </c>
      <c r="J245" s="59">
        <v>100000</v>
      </c>
      <c r="K245" s="59"/>
      <c r="L245" s="59">
        <f t="shared" si="18"/>
        <v>100000</v>
      </c>
      <c r="N245" s="163"/>
      <c r="O245" s="163"/>
    </row>
    <row r="246" spans="1:15" x14ac:dyDescent="0.2">
      <c r="A246" s="519"/>
      <c r="B246" s="49"/>
      <c r="D246" s="519"/>
      <c r="E246" s="579"/>
      <c r="F246" s="311">
        <v>6</v>
      </c>
      <c r="G246" s="47"/>
      <c r="H246" s="311">
        <v>416</v>
      </c>
      <c r="I246" s="270" t="s">
        <v>6</v>
      </c>
      <c r="J246" s="59">
        <v>1910000</v>
      </c>
      <c r="K246" s="59"/>
      <c r="L246" s="59">
        <f t="shared" si="18"/>
        <v>1910000</v>
      </c>
      <c r="N246" s="163"/>
      <c r="O246" s="163"/>
    </row>
    <row r="247" spans="1:15" x14ac:dyDescent="0.2">
      <c r="A247" s="519"/>
      <c r="B247" s="49"/>
      <c r="D247" s="519"/>
      <c r="E247" s="579"/>
      <c r="F247" s="311">
        <v>7</v>
      </c>
      <c r="G247" s="47"/>
      <c r="H247" s="311">
        <v>422</v>
      </c>
      <c r="I247" s="270" t="s">
        <v>8</v>
      </c>
      <c r="J247" s="59">
        <v>200000</v>
      </c>
      <c r="K247" s="59"/>
      <c r="L247" s="59">
        <f t="shared" si="18"/>
        <v>200000</v>
      </c>
      <c r="N247" s="163"/>
      <c r="O247" s="163"/>
    </row>
    <row r="248" spans="1:15" x14ac:dyDescent="0.2">
      <c r="A248" s="519"/>
      <c r="B248" s="49"/>
      <c r="D248" s="519"/>
      <c r="E248" s="579"/>
      <c r="F248" s="311">
        <v>8</v>
      </c>
      <c r="G248" s="47"/>
      <c r="H248" s="311">
        <v>423</v>
      </c>
      <c r="I248" s="220" t="s">
        <v>9</v>
      </c>
      <c r="J248" s="64">
        <v>20000000</v>
      </c>
      <c r="K248" s="59"/>
      <c r="L248" s="59">
        <f t="shared" si="18"/>
        <v>20000000</v>
      </c>
      <c r="N248" s="163"/>
      <c r="O248" s="163"/>
    </row>
    <row r="249" spans="1:15" x14ac:dyDescent="0.2">
      <c r="A249" s="519"/>
      <c r="B249" s="49"/>
      <c r="D249" s="519"/>
      <c r="E249" s="579"/>
      <c r="F249" s="311">
        <v>9</v>
      </c>
      <c r="G249" s="47"/>
      <c r="H249" s="311">
        <v>424</v>
      </c>
      <c r="I249" s="220" t="s">
        <v>10</v>
      </c>
      <c r="J249" s="59">
        <v>300000</v>
      </c>
      <c r="K249" s="59"/>
      <c r="L249" s="59">
        <f t="shared" si="18"/>
        <v>300000</v>
      </c>
      <c r="N249" s="163"/>
      <c r="O249" s="163"/>
    </row>
    <row r="250" spans="1:15" x14ac:dyDescent="0.2">
      <c r="A250" s="519"/>
      <c r="B250" s="49"/>
      <c r="D250" s="519"/>
      <c r="E250" s="579"/>
      <c r="F250" s="311">
        <v>10</v>
      </c>
      <c r="G250" s="47"/>
      <c r="H250" s="311">
        <v>426</v>
      </c>
      <c r="I250" s="220" t="s">
        <v>35</v>
      </c>
      <c r="J250" s="59">
        <v>150000</v>
      </c>
      <c r="K250" s="59"/>
      <c r="L250" s="59">
        <f t="shared" si="18"/>
        <v>150000</v>
      </c>
      <c r="N250" s="163"/>
      <c r="O250" s="163"/>
    </row>
    <row r="251" spans="1:15" x14ac:dyDescent="0.2">
      <c r="A251" s="519"/>
      <c r="B251" s="49"/>
      <c r="D251" s="519"/>
      <c r="E251" s="579"/>
      <c r="F251" s="311">
        <v>11</v>
      </c>
      <c r="G251" s="47"/>
      <c r="H251" s="311">
        <v>465</v>
      </c>
      <c r="I251" s="220" t="s">
        <v>167</v>
      </c>
      <c r="J251" s="59">
        <v>315300</v>
      </c>
      <c r="K251" s="59"/>
      <c r="L251" s="59">
        <f t="shared" si="18"/>
        <v>315300</v>
      </c>
      <c r="N251" s="163"/>
      <c r="O251" s="163"/>
    </row>
    <row r="252" spans="1:15" x14ac:dyDescent="0.2">
      <c r="A252" s="519"/>
      <c r="B252" s="49"/>
      <c r="D252" s="519"/>
      <c r="E252" s="579"/>
      <c r="F252" s="311">
        <v>12</v>
      </c>
      <c r="G252" s="47"/>
      <c r="H252" s="311">
        <v>481</v>
      </c>
      <c r="I252" s="220" t="s">
        <v>36</v>
      </c>
      <c r="J252" s="59">
        <v>2500000</v>
      </c>
      <c r="K252" s="59"/>
      <c r="L252" s="59">
        <f t="shared" si="18"/>
        <v>2500000</v>
      </c>
      <c r="N252" s="163"/>
      <c r="O252" s="163"/>
    </row>
    <row r="253" spans="1:15" x14ac:dyDescent="0.2">
      <c r="A253" s="519"/>
      <c r="B253" s="49"/>
      <c r="D253" s="519"/>
      <c r="E253" s="579"/>
      <c r="F253" s="311"/>
      <c r="G253" s="47"/>
      <c r="H253" s="311"/>
      <c r="I253" s="114" t="s">
        <v>617</v>
      </c>
      <c r="J253" s="326">
        <f>SUM(J241:J252)</f>
        <v>28856800</v>
      </c>
      <c r="K253" s="326"/>
      <c r="L253" s="57">
        <f>SUM(L241:L252)</f>
        <v>28856800</v>
      </c>
      <c r="N253" s="163"/>
      <c r="O253" s="163"/>
    </row>
    <row r="254" spans="1:15" ht="15" x14ac:dyDescent="0.25">
      <c r="A254" s="519"/>
      <c r="B254" s="49"/>
      <c r="D254" s="519"/>
      <c r="E254" s="579"/>
      <c r="F254" s="311"/>
      <c r="G254" s="55" t="s">
        <v>37</v>
      </c>
      <c r="H254" s="315"/>
      <c r="I254" s="65" t="s">
        <v>38</v>
      </c>
      <c r="J254" s="60">
        <f>SUM(J253)</f>
        <v>28856800</v>
      </c>
      <c r="K254" s="60"/>
      <c r="L254" s="60">
        <f>SUM(J254+K254)</f>
        <v>28856800</v>
      </c>
      <c r="N254" s="163"/>
      <c r="O254" s="163"/>
    </row>
    <row r="255" spans="1:15" x14ac:dyDescent="0.2">
      <c r="A255" s="645"/>
      <c r="B255" s="646"/>
      <c r="C255" s="646"/>
      <c r="D255" s="645"/>
      <c r="E255" s="626"/>
      <c r="F255" s="442"/>
      <c r="G255" s="321"/>
      <c r="H255" s="647"/>
      <c r="I255" s="266"/>
      <c r="J255" s="80"/>
      <c r="K255" s="80"/>
      <c r="L255" s="260"/>
      <c r="N255" s="163"/>
      <c r="O255" s="163"/>
    </row>
    <row r="256" spans="1:15" x14ac:dyDescent="0.2">
      <c r="A256" s="519"/>
      <c r="B256" s="49"/>
      <c r="D256" s="519"/>
      <c r="E256" s="580"/>
      <c r="F256" s="439"/>
      <c r="G256" s="329"/>
      <c r="H256" s="457"/>
      <c r="I256" s="396" t="s">
        <v>272</v>
      </c>
      <c r="J256" s="494"/>
      <c r="K256" s="494"/>
      <c r="L256" s="331"/>
      <c r="N256" s="163"/>
      <c r="O256" s="163"/>
    </row>
    <row r="257" spans="1:15" x14ac:dyDescent="0.2">
      <c r="A257" s="519"/>
      <c r="B257" s="49"/>
      <c r="D257" s="519"/>
      <c r="E257" s="580" t="s">
        <v>425</v>
      </c>
      <c r="F257" s="439"/>
      <c r="G257" s="329"/>
      <c r="H257" s="460"/>
      <c r="I257" s="398" t="s">
        <v>426</v>
      </c>
      <c r="J257" s="399"/>
      <c r="K257" s="399"/>
      <c r="L257" s="402"/>
      <c r="N257" s="163"/>
      <c r="O257" s="163"/>
    </row>
    <row r="258" spans="1:15" x14ac:dyDescent="0.2">
      <c r="A258" s="519"/>
      <c r="B258" s="49"/>
      <c r="D258" s="519"/>
      <c r="E258" s="579"/>
      <c r="F258" s="311"/>
      <c r="G258" s="47"/>
      <c r="H258" s="313"/>
      <c r="I258" s="266"/>
      <c r="J258" s="31"/>
      <c r="K258" s="31"/>
      <c r="L258" s="77"/>
      <c r="N258" s="163"/>
      <c r="O258" s="163"/>
    </row>
    <row r="259" spans="1:15" x14ac:dyDescent="0.2">
      <c r="A259" s="519"/>
      <c r="B259" s="49"/>
      <c r="D259" s="519"/>
      <c r="E259" s="579"/>
      <c r="F259" s="311"/>
      <c r="G259" s="47"/>
      <c r="H259" s="311"/>
      <c r="I259" s="280" t="s">
        <v>39</v>
      </c>
      <c r="J259" s="76"/>
      <c r="K259" s="76"/>
      <c r="L259" s="218"/>
      <c r="N259" s="163"/>
      <c r="O259" s="163"/>
    </row>
    <row r="260" spans="1:15" x14ac:dyDescent="0.2">
      <c r="A260" s="49"/>
      <c r="B260" s="49"/>
      <c r="C260" s="49">
        <v>160</v>
      </c>
      <c r="D260" s="49"/>
      <c r="E260" s="579"/>
      <c r="F260" s="311"/>
      <c r="G260" s="47"/>
      <c r="H260" s="311"/>
      <c r="I260" s="280" t="s">
        <v>288</v>
      </c>
      <c r="J260" s="76"/>
      <c r="K260" s="76"/>
      <c r="L260" s="218"/>
      <c r="N260" s="163"/>
      <c r="O260" s="163"/>
    </row>
    <row r="261" spans="1:15" x14ac:dyDescent="0.2">
      <c r="A261" s="49"/>
      <c r="B261" s="49"/>
      <c r="D261" s="49"/>
      <c r="E261" s="579"/>
      <c r="F261" s="311"/>
      <c r="G261" s="47"/>
      <c r="H261" s="311"/>
      <c r="I261" s="648"/>
      <c r="J261" s="31"/>
      <c r="K261" s="31"/>
      <c r="L261" s="77"/>
      <c r="N261" s="163"/>
      <c r="O261" s="163"/>
    </row>
    <row r="262" spans="1:15" x14ac:dyDescent="0.2">
      <c r="A262" s="49"/>
      <c r="B262" s="49"/>
      <c r="D262" s="49"/>
      <c r="E262" s="579"/>
      <c r="F262" s="311">
        <v>13</v>
      </c>
      <c r="G262" s="47"/>
      <c r="H262" s="311">
        <v>416</v>
      </c>
      <c r="I262" s="270" t="s">
        <v>6</v>
      </c>
      <c r="J262" s="59">
        <v>1000</v>
      </c>
      <c r="K262" s="59"/>
      <c r="L262" s="59">
        <f>SUM(J262+K262)</f>
        <v>1000</v>
      </c>
      <c r="N262" s="163"/>
      <c r="O262" s="163"/>
    </row>
    <row r="263" spans="1:15" x14ac:dyDescent="0.2">
      <c r="A263" s="49"/>
      <c r="B263" s="49"/>
      <c r="D263" s="49"/>
      <c r="E263" s="579"/>
      <c r="F263" s="311">
        <v>14</v>
      </c>
      <c r="G263" s="47"/>
      <c r="H263" s="311">
        <v>421</v>
      </c>
      <c r="I263" s="270" t="s">
        <v>7</v>
      </c>
      <c r="J263" s="59">
        <v>1000</v>
      </c>
      <c r="K263" s="59"/>
      <c r="L263" s="59">
        <f>SUM(J263+K263)</f>
        <v>1000</v>
      </c>
      <c r="N263" s="163"/>
      <c r="O263" s="163"/>
    </row>
    <row r="264" spans="1:15" x14ac:dyDescent="0.2">
      <c r="A264" s="519"/>
      <c r="B264" s="49"/>
      <c r="D264" s="519"/>
      <c r="E264" s="579"/>
      <c r="F264" s="311">
        <v>15</v>
      </c>
      <c r="G264" s="47"/>
      <c r="H264" s="311">
        <v>423</v>
      </c>
      <c r="I264" s="220" t="s">
        <v>9</v>
      </c>
      <c r="J264" s="59">
        <v>1000</v>
      </c>
      <c r="K264" s="59"/>
      <c r="L264" s="59">
        <f>SUM(J264+K264)</f>
        <v>1000</v>
      </c>
      <c r="N264" s="163"/>
      <c r="O264" s="163"/>
    </row>
    <row r="265" spans="1:15" x14ac:dyDescent="0.2">
      <c r="A265" s="519"/>
      <c r="B265" s="49"/>
      <c r="D265" s="519"/>
      <c r="E265" s="579"/>
      <c r="F265" s="311">
        <v>16</v>
      </c>
      <c r="G265" s="47"/>
      <c r="H265" s="311">
        <v>426</v>
      </c>
      <c r="I265" s="220" t="s">
        <v>35</v>
      </c>
      <c r="J265" s="59">
        <v>1000</v>
      </c>
      <c r="K265" s="59"/>
      <c r="L265" s="59">
        <f>SUM(J265+K265)</f>
        <v>1000</v>
      </c>
      <c r="N265" s="163"/>
      <c r="O265" s="163"/>
    </row>
    <row r="266" spans="1:15" x14ac:dyDescent="0.2">
      <c r="A266" s="519"/>
      <c r="B266" s="49"/>
      <c r="D266" s="519"/>
      <c r="E266" s="579"/>
      <c r="F266" s="311"/>
      <c r="G266" s="47"/>
      <c r="H266" s="311"/>
      <c r="I266" s="295" t="s">
        <v>617</v>
      </c>
      <c r="J266" s="80">
        <f>SUM(J262:J265)</f>
        <v>4000</v>
      </c>
      <c r="K266" s="80"/>
      <c r="L266" s="260">
        <f t="shared" ref="L266" si="19">SUM(L262:L265)</f>
        <v>4000</v>
      </c>
      <c r="N266" s="163"/>
      <c r="O266" s="163"/>
    </row>
    <row r="267" spans="1:15" ht="15" x14ac:dyDescent="0.25">
      <c r="A267" s="519"/>
      <c r="B267" s="49"/>
      <c r="D267" s="519"/>
      <c r="E267" s="579"/>
      <c r="F267" s="311"/>
      <c r="G267" s="55" t="s">
        <v>37</v>
      </c>
      <c r="H267" s="315"/>
      <c r="I267" s="649" t="s">
        <v>38</v>
      </c>
      <c r="J267" s="650">
        <f>SUM(J266)</f>
        <v>4000</v>
      </c>
      <c r="K267" s="349"/>
      <c r="L267" s="349">
        <f>SUM(J267+K267)</f>
        <v>4000</v>
      </c>
      <c r="N267" s="163"/>
      <c r="O267" s="163"/>
    </row>
    <row r="268" spans="1:15" ht="15" x14ac:dyDescent="0.25">
      <c r="A268" s="519"/>
      <c r="B268" s="49"/>
      <c r="D268" s="519"/>
      <c r="E268" s="579"/>
      <c r="F268" s="311"/>
      <c r="G268" s="55"/>
      <c r="H268" s="315"/>
      <c r="I268" s="26"/>
      <c r="J268" s="30"/>
      <c r="K268" s="30"/>
      <c r="L268" s="61"/>
      <c r="N268" s="163"/>
      <c r="O268" s="163"/>
    </row>
    <row r="269" spans="1:15" ht="15" x14ac:dyDescent="0.25">
      <c r="A269" s="519"/>
      <c r="B269" s="49"/>
      <c r="D269" s="519"/>
      <c r="E269" s="579"/>
      <c r="F269" s="311"/>
      <c r="G269" s="55"/>
      <c r="H269" s="315"/>
      <c r="I269" s="217"/>
      <c r="J269" s="31"/>
      <c r="K269" s="31"/>
      <c r="L269" s="77"/>
      <c r="N269" s="163"/>
      <c r="O269" s="163"/>
    </row>
    <row r="270" spans="1:15" x14ac:dyDescent="0.2">
      <c r="A270" s="651" t="s">
        <v>279</v>
      </c>
      <c r="B270" s="651"/>
      <c r="C270" s="651"/>
      <c r="D270" s="652"/>
      <c r="E270" s="653"/>
      <c r="F270" s="319"/>
      <c r="G270" s="654"/>
      <c r="H270" s="316"/>
      <c r="I270" s="655" t="s">
        <v>672</v>
      </c>
      <c r="J270" s="250"/>
      <c r="K270" s="250"/>
      <c r="L270" s="251"/>
      <c r="N270" s="163"/>
      <c r="O270" s="163"/>
    </row>
    <row r="271" spans="1:15" x14ac:dyDescent="0.2">
      <c r="A271" s="656"/>
      <c r="B271" s="657"/>
      <c r="C271" s="657"/>
      <c r="D271" s="658" t="s">
        <v>239</v>
      </c>
      <c r="E271" s="617"/>
      <c r="F271" s="799"/>
      <c r="G271" s="659"/>
      <c r="H271" s="660"/>
      <c r="I271" s="661" t="s">
        <v>430</v>
      </c>
      <c r="J271" s="662">
        <f>SUM(J289)</f>
        <v>4636500</v>
      </c>
      <c r="K271" s="662"/>
      <c r="L271" s="662">
        <f t="shared" ref="L271" si="20">SUM(L289)</f>
        <v>4636500</v>
      </c>
      <c r="N271" s="163"/>
      <c r="O271" s="163"/>
    </row>
    <row r="272" spans="1:15" x14ac:dyDescent="0.2">
      <c r="A272" s="663"/>
      <c r="B272" s="664"/>
      <c r="C272" s="664"/>
      <c r="D272" s="665"/>
      <c r="E272" s="626"/>
      <c r="F272" s="780"/>
      <c r="G272" s="666"/>
      <c r="H272" s="667"/>
      <c r="I272" s="668"/>
      <c r="J272" s="192"/>
      <c r="K272" s="192"/>
      <c r="L272" s="365"/>
      <c r="N272" s="163"/>
      <c r="O272" s="163"/>
    </row>
    <row r="273" spans="1:16" x14ac:dyDescent="0.2">
      <c r="A273" s="517"/>
      <c r="B273" s="185"/>
      <c r="C273" s="185"/>
      <c r="D273" s="517"/>
      <c r="E273" s="580"/>
      <c r="F273" s="493"/>
      <c r="G273" s="669"/>
      <c r="H273" s="670"/>
      <c r="I273" s="671" t="s">
        <v>412</v>
      </c>
      <c r="J273" s="672"/>
      <c r="K273" s="672"/>
      <c r="L273" s="673"/>
      <c r="N273" s="163"/>
      <c r="O273" s="163"/>
    </row>
    <row r="274" spans="1:16" x14ac:dyDescent="0.2">
      <c r="A274" s="517"/>
      <c r="B274" s="185"/>
      <c r="C274" s="185"/>
      <c r="D274" s="185"/>
      <c r="E274" s="580" t="s">
        <v>413</v>
      </c>
      <c r="F274" s="493"/>
      <c r="G274" s="669"/>
      <c r="H274" s="674"/>
      <c r="I274" s="675" t="s">
        <v>427</v>
      </c>
      <c r="J274" s="676"/>
      <c r="K274" s="676"/>
      <c r="L274" s="413"/>
      <c r="N274" s="163"/>
      <c r="O274" s="163"/>
    </row>
    <row r="275" spans="1:16" x14ac:dyDescent="0.2">
      <c r="A275" s="677"/>
      <c r="B275" s="677"/>
      <c r="C275" s="185"/>
      <c r="D275" s="677"/>
      <c r="E275" s="579"/>
      <c r="F275" s="319"/>
      <c r="G275" s="79"/>
      <c r="H275" s="463"/>
      <c r="I275" s="678"/>
      <c r="J275" s="522"/>
      <c r="K275" s="522"/>
      <c r="L275" s="679"/>
      <c r="N275" s="163"/>
      <c r="O275" s="163"/>
    </row>
    <row r="276" spans="1:16" ht="22.5" x14ac:dyDescent="0.2">
      <c r="A276" s="517"/>
      <c r="B276" s="185"/>
      <c r="C276" s="185">
        <v>110</v>
      </c>
      <c r="D276" s="517"/>
      <c r="E276" s="579"/>
      <c r="F276" s="319"/>
      <c r="G276" s="79"/>
      <c r="H276" s="316"/>
      <c r="I276" s="282" t="s">
        <v>289</v>
      </c>
      <c r="J276" s="362"/>
      <c r="K276" s="362"/>
      <c r="L276" s="363"/>
      <c r="N276" s="163"/>
      <c r="O276" s="163"/>
    </row>
    <row r="277" spans="1:16" x14ac:dyDescent="0.2">
      <c r="A277" s="517"/>
      <c r="B277" s="185"/>
      <c r="C277" s="185"/>
      <c r="D277" s="518"/>
      <c r="E277" s="579"/>
      <c r="F277" s="319"/>
      <c r="G277" s="79"/>
      <c r="H277" s="319"/>
      <c r="I277" s="186"/>
      <c r="J277" s="250"/>
      <c r="K277" s="250"/>
      <c r="L277" s="251"/>
      <c r="N277" s="163"/>
      <c r="O277" s="163"/>
    </row>
    <row r="278" spans="1:16" x14ac:dyDescent="0.2">
      <c r="A278" s="517"/>
      <c r="B278" s="185"/>
      <c r="C278" s="185"/>
      <c r="D278" s="517"/>
      <c r="E278" s="579"/>
      <c r="F278" s="319">
        <v>17</v>
      </c>
      <c r="G278" s="79"/>
      <c r="H278" s="319">
        <v>411</v>
      </c>
      <c r="I278" s="275" t="s">
        <v>2</v>
      </c>
      <c r="J278" s="54">
        <v>2936000</v>
      </c>
      <c r="K278" s="54"/>
      <c r="L278" s="54">
        <f t="shared" ref="L278:L288" si="21">SUM(J278+K278)</f>
        <v>2936000</v>
      </c>
      <c r="N278" s="17"/>
    </row>
    <row r="279" spans="1:16" x14ac:dyDescent="0.2">
      <c r="A279" s="517"/>
      <c r="B279" s="185"/>
      <c r="C279" s="185"/>
      <c r="D279" s="517"/>
      <c r="E279" s="579"/>
      <c r="F279" s="319">
        <v>18</v>
      </c>
      <c r="G279" s="79"/>
      <c r="H279" s="319">
        <v>412</v>
      </c>
      <c r="I279" s="274" t="s">
        <v>3</v>
      </c>
      <c r="J279" s="54">
        <v>504000</v>
      </c>
      <c r="K279" s="54"/>
      <c r="L279" s="54">
        <f t="shared" si="21"/>
        <v>504000</v>
      </c>
      <c r="N279" s="17"/>
    </row>
    <row r="280" spans="1:16" x14ac:dyDescent="0.2">
      <c r="A280" s="517"/>
      <c r="B280" s="185"/>
      <c r="C280" s="185"/>
      <c r="D280" s="517"/>
      <c r="E280" s="579"/>
      <c r="F280" s="319">
        <v>19</v>
      </c>
      <c r="G280" s="79"/>
      <c r="H280" s="319">
        <v>413</v>
      </c>
      <c r="I280" s="274" t="s">
        <v>33</v>
      </c>
      <c r="J280" s="54">
        <v>100000</v>
      </c>
      <c r="K280" s="54"/>
      <c r="L280" s="54">
        <f t="shared" si="21"/>
        <v>100000</v>
      </c>
      <c r="N280" s="17"/>
    </row>
    <row r="281" spans="1:16" s="190" customFormat="1" x14ac:dyDescent="0.2">
      <c r="A281" s="517"/>
      <c r="B281" s="185"/>
      <c r="C281" s="185"/>
      <c r="D281" s="517"/>
      <c r="E281" s="579"/>
      <c r="F281" s="319">
        <v>20</v>
      </c>
      <c r="G281" s="79"/>
      <c r="H281" s="319">
        <v>414</v>
      </c>
      <c r="I281" s="275" t="s">
        <v>34</v>
      </c>
      <c r="J281" s="54">
        <v>200000</v>
      </c>
      <c r="K281" s="54"/>
      <c r="L281" s="54">
        <f t="shared" si="21"/>
        <v>200000</v>
      </c>
      <c r="M281" s="17"/>
      <c r="N281" s="188"/>
      <c r="O281" s="188"/>
      <c r="P281" s="927"/>
    </row>
    <row r="282" spans="1:16" x14ac:dyDescent="0.2">
      <c r="A282" s="517"/>
      <c r="B282" s="185"/>
      <c r="C282" s="185"/>
      <c r="D282" s="517"/>
      <c r="E282" s="579"/>
      <c r="F282" s="319">
        <v>21</v>
      </c>
      <c r="G282" s="79"/>
      <c r="H282" s="319">
        <v>415</v>
      </c>
      <c r="I282" s="274" t="s">
        <v>5</v>
      </c>
      <c r="J282" s="54">
        <v>80000</v>
      </c>
      <c r="K282" s="54"/>
      <c r="L282" s="54">
        <f t="shared" si="21"/>
        <v>80000</v>
      </c>
      <c r="N282" s="17"/>
    </row>
    <row r="283" spans="1:16" x14ac:dyDescent="0.2">
      <c r="A283" s="517"/>
      <c r="B283" s="185"/>
      <c r="C283" s="185"/>
      <c r="D283" s="517"/>
      <c r="E283" s="579"/>
      <c r="F283" s="319">
        <v>22</v>
      </c>
      <c r="G283" s="79"/>
      <c r="H283" s="319">
        <v>416</v>
      </c>
      <c r="I283" s="274" t="s">
        <v>6</v>
      </c>
      <c r="J283" s="54">
        <v>10000</v>
      </c>
      <c r="K283" s="54"/>
      <c r="L283" s="54">
        <f t="shared" si="21"/>
        <v>10000</v>
      </c>
      <c r="N283" s="17"/>
    </row>
    <row r="284" spans="1:16" x14ac:dyDescent="0.2">
      <c r="A284" s="517"/>
      <c r="B284" s="185"/>
      <c r="C284" s="185"/>
      <c r="D284" s="517"/>
      <c r="E284" s="579"/>
      <c r="F284" s="319">
        <v>23</v>
      </c>
      <c r="G284" s="79"/>
      <c r="H284" s="319">
        <v>421</v>
      </c>
      <c r="I284" s="274" t="s">
        <v>7</v>
      </c>
      <c r="J284" s="54">
        <v>10000</v>
      </c>
      <c r="K284" s="54"/>
      <c r="L284" s="54">
        <f t="shared" si="21"/>
        <v>10000</v>
      </c>
      <c r="N284" s="17"/>
    </row>
    <row r="285" spans="1:16" x14ac:dyDescent="0.2">
      <c r="A285" s="517"/>
      <c r="B285" s="185"/>
      <c r="C285" s="185"/>
      <c r="D285" s="517"/>
      <c r="E285" s="579"/>
      <c r="F285" s="319">
        <v>24</v>
      </c>
      <c r="G285" s="79"/>
      <c r="H285" s="319">
        <v>422</v>
      </c>
      <c r="I285" s="274" t="s">
        <v>8</v>
      </c>
      <c r="J285" s="54">
        <v>50000</v>
      </c>
      <c r="K285" s="54"/>
      <c r="L285" s="54">
        <f t="shared" si="21"/>
        <v>50000</v>
      </c>
      <c r="N285" s="194"/>
    </row>
    <row r="286" spans="1:16" x14ac:dyDescent="0.2">
      <c r="A286" s="517"/>
      <c r="B286" s="185"/>
      <c r="C286" s="185"/>
      <c r="D286" s="517"/>
      <c r="E286" s="579"/>
      <c r="F286" s="319">
        <v>25</v>
      </c>
      <c r="G286" s="79"/>
      <c r="H286" s="319">
        <v>423</v>
      </c>
      <c r="I286" s="275" t="s">
        <v>9</v>
      </c>
      <c r="J286" s="54">
        <v>50000</v>
      </c>
      <c r="K286" s="54"/>
      <c r="L286" s="54">
        <f t="shared" si="21"/>
        <v>50000</v>
      </c>
      <c r="N286" s="17"/>
    </row>
    <row r="287" spans="1:16" x14ac:dyDescent="0.2">
      <c r="A287" s="517"/>
      <c r="B287" s="185"/>
      <c r="C287" s="185"/>
      <c r="D287" s="517"/>
      <c r="E287" s="579"/>
      <c r="F287" s="319">
        <v>26</v>
      </c>
      <c r="G287" s="79"/>
      <c r="H287" s="319">
        <v>426</v>
      </c>
      <c r="I287" s="275" t="s">
        <v>35</v>
      </c>
      <c r="J287" s="54">
        <v>350000</v>
      </c>
      <c r="K287" s="54"/>
      <c r="L287" s="54">
        <f t="shared" si="21"/>
        <v>350000</v>
      </c>
      <c r="N287" s="194"/>
    </row>
    <row r="288" spans="1:16" x14ac:dyDescent="0.2">
      <c r="A288" s="517"/>
      <c r="B288" s="185"/>
      <c r="C288" s="185"/>
      <c r="D288" s="517"/>
      <c r="E288" s="579"/>
      <c r="F288" s="319">
        <v>27</v>
      </c>
      <c r="G288" s="79"/>
      <c r="H288" s="319">
        <v>465</v>
      </c>
      <c r="I288" s="275" t="s">
        <v>167</v>
      </c>
      <c r="J288" s="54">
        <v>346500</v>
      </c>
      <c r="K288" s="54"/>
      <c r="L288" s="54">
        <f t="shared" si="21"/>
        <v>346500</v>
      </c>
      <c r="N288" s="17"/>
    </row>
    <row r="289" spans="1:12" x14ac:dyDescent="0.2">
      <c r="A289" s="517"/>
      <c r="B289" s="185"/>
      <c r="C289" s="185"/>
      <c r="D289" s="517"/>
      <c r="E289" s="579"/>
      <c r="F289" s="319"/>
      <c r="G289" s="79"/>
      <c r="H289" s="319"/>
      <c r="I289" s="283" t="s">
        <v>618</v>
      </c>
      <c r="J289" s="364">
        <f>SUM(J278:J288)</f>
        <v>4636500</v>
      </c>
      <c r="K289" s="364"/>
      <c r="L289" s="365">
        <f>SUM(L278:L288)</f>
        <v>4636500</v>
      </c>
    </row>
    <row r="290" spans="1:12" ht="15" x14ac:dyDescent="0.25">
      <c r="A290" s="517"/>
      <c r="B290" s="185"/>
      <c r="C290" s="185"/>
      <c r="D290" s="517"/>
      <c r="E290" s="579"/>
      <c r="F290" s="319"/>
      <c r="G290" s="55" t="s">
        <v>37</v>
      </c>
      <c r="H290" s="315"/>
      <c r="I290" s="65" t="s">
        <v>38</v>
      </c>
      <c r="J290" s="60">
        <f>SUM(J289)</f>
        <v>4636500</v>
      </c>
      <c r="K290" s="60"/>
      <c r="L290" s="60">
        <f>SUM(J290+K290)</f>
        <v>4636500</v>
      </c>
    </row>
    <row r="291" spans="1:12" ht="15" x14ac:dyDescent="0.25">
      <c r="A291" s="517"/>
      <c r="B291" s="185"/>
      <c r="C291" s="185"/>
      <c r="D291" s="517"/>
      <c r="E291" s="579"/>
      <c r="F291" s="319"/>
      <c r="G291" s="55"/>
      <c r="H291" s="315"/>
      <c r="I291" s="26"/>
      <c r="J291" s="30"/>
      <c r="K291" s="30"/>
      <c r="L291" s="61"/>
    </row>
    <row r="292" spans="1:12" x14ac:dyDescent="0.2">
      <c r="A292" s="519"/>
      <c r="B292" s="49"/>
      <c r="D292" s="519"/>
      <c r="E292" s="579"/>
      <c r="F292" s="311"/>
      <c r="G292" s="47"/>
      <c r="H292" s="312"/>
      <c r="I292" s="26"/>
      <c r="J292" s="30"/>
      <c r="K292" s="30"/>
      <c r="L292" s="61"/>
    </row>
    <row r="293" spans="1:12" x14ac:dyDescent="0.2">
      <c r="A293" s="651" t="s">
        <v>48</v>
      </c>
      <c r="B293" s="651"/>
      <c r="C293" s="651"/>
      <c r="D293" s="652"/>
      <c r="E293" s="653"/>
      <c r="F293" s="319"/>
      <c r="G293" s="654"/>
      <c r="H293" s="316"/>
      <c r="I293" s="655" t="s">
        <v>669</v>
      </c>
      <c r="J293" s="250"/>
      <c r="K293" s="250"/>
      <c r="L293" s="251"/>
    </row>
    <row r="294" spans="1:12" x14ac:dyDescent="0.2">
      <c r="A294" s="656"/>
      <c r="B294" s="657"/>
      <c r="C294" s="657"/>
      <c r="D294" s="658" t="s">
        <v>429</v>
      </c>
      <c r="E294" s="617"/>
      <c r="F294" s="799"/>
      <c r="G294" s="659"/>
      <c r="H294" s="660"/>
      <c r="I294" s="661" t="s">
        <v>428</v>
      </c>
      <c r="J294" s="662">
        <f>SUM(J313)</f>
        <v>57492900</v>
      </c>
      <c r="K294" s="662"/>
      <c r="L294" s="662">
        <f t="shared" ref="L294" si="22">SUM(L313)</f>
        <v>57492900</v>
      </c>
    </row>
    <row r="295" spans="1:12" x14ac:dyDescent="0.2">
      <c r="A295" s="663"/>
      <c r="B295" s="664"/>
      <c r="C295" s="664"/>
      <c r="D295" s="665"/>
      <c r="E295" s="626"/>
      <c r="F295" s="780"/>
      <c r="G295" s="666"/>
      <c r="H295" s="667"/>
      <c r="I295" s="668"/>
      <c r="J295" s="378"/>
      <c r="K295" s="378"/>
      <c r="L295" s="680"/>
    </row>
    <row r="296" spans="1:12" x14ac:dyDescent="0.2">
      <c r="A296" s="517"/>
      <c r="B296" s="185"/>
      <c r="C296" s="185"/>
      <c r="D296" s="517"/>
      <c r="E296" s="580"/>
      <c r="F296" s="493"/>
      <c r="G296" s="669"/>
      <c r="H296" s="670"/>
      <c r="I296" s="671" t="s">
        <v>237</v>
      </c>
      <c r="J296" s="672"/>
      <c r="K296" s="672"/>
      <c r="L296" s="673"/>
    </row>
    <row r="297" spans="1:12" x14ac:dyDescent="0.2">
      <c r="A297" s="517"/>
      <c r="B297" s="185"/>
      <c r="C297" s="185"/>
      <c r="D297" s="185"/>
      <c r="E297" s="580" t="s">
        <v>431</v>
      </c>
      <c r="F297" s="493"/>
      <c r="G297" s="669"/>
      <c r="H297" s="674"/>
      <c r="I297" s="675" t="s">
        <v>432</v>
      </c>
      <c r="J297" s="676"/>
      <c r="K297" s="676"/>
      <c r="L297" s="413"/>
    </row>
    <row r="298" spans="1:12" x14ac:dyDescent="0.2">
      <c r="A298" s="677"/>
      <c r="B298" s="677"/>
      <c r="C298" s="185"/>
      <c r="D298" s="677"/>
      <c r="E298" s="579"/>
      <c r="F298" s="319"/>
      <c r="G298" s="79"/>
      <c r="H298" s="463"/>
      <c r="I298" s="678"/>
      <c r="J298" s="522"/>
      <c r="K298" s="522"/>
      <c r="L298" s="679"/>
    </row>
    <row r="299" spans="1:12" ht="22.5" x14ac:dyDescent="0.2">
      <c r="A299" s="517"/>
      <c r="B299" s="185"/>
      <c r="C299" s="185">
        <v>110</v>
      </c>
      <c r="D299" s="517"/>
      <c r="E299" s="579"/>
      <c r="F299" s="319"/>
      <c r="G299" s="79"/>
      <c r="H299" s="316"/>
      <c r="I299" s="282" t="s">
        <v>289</v>
      </c>
      <c r="J299" s="362"/>
      <c r="K299" s="362"/>
      <c r="L299" s="363"/>
    </row>
    <row r="300" spans="1:12" x14ac:dyDescent="0.2">
      <c r="A300" s="517"/>
      <c r="B300" s="185"/>
      <c r="C300" s="185"/>
      <c r="D300" s="518"/>
      <c r="E300" s="579"/>
      <c r="F300" s="319"/>
      <c r="G300" s="79"/>
      <c r="H300" s="319"/>
      <c r="I300" s="186"/>
      <c r="J300" s="250"/>
      <c r="K300" s="250"/>
      <c r="L300" s="251"/>
    </row>
    <row r="301" spans="1:12" x14ac:dyDescent="0.2">
      <c r="A301" s="517"/>
      <c r="B301" s="185"/>
      <c r="C301" s="185"/>
      <c r="D301" s="517"/>
      <c r="E301" s="579"/>
      <c r="F301" s="319">
        <v>28</v>
      </c>
      <c r="G301" s="79"/>
      <c r="H301" s="319">
        <v>411</v>
      </c>
      <c r="I301" s="275" t="s">
        <v>2</v>
      </c>
      <c r="J301" s="54">
        <v>5694500</v>
      </c>
      <c r="K301" s="54"/>
      <c r="L301" s="54">
        <f t="shared" ref="L301:L312" si="23">SUM(J301+K301)</f>
        <v>5694500</v>
      </c>
    </row>
    <row r="302" spans="1:12" x14ac:dyDescent="0.2">
      <c r="A302" s="517"/>
      <c r="B302" s="185"/>
      <c r="C302" s="185"/>
      <c r="D302" s="517"/>
      <c r="E302" s="579"/>
      <c r="F302" s="319">
        <v>29</v>
      </c>
      <c r="G302" s="79"/>
      <c r="H302" s="319">
        <v>412</v>
      </c>
      <c r="I302" s="274" t="s">
        <v>3</v>
      </c>
      <c r="J302" s="54">
        <v>977000</v>
      </c>
      <c r="K302" s="54"/>
      <c r="L302" s="54">
        <f t="shared" si="23"/>
        <v>977000</v>
      </c>
    </row>
    <row r="303" spans="1:12" x14ac:dyDescent="0.2">
      <c r="A303" s="517"/>
      <c r="B303" s="185"/>
      <c r="C303" s="185"/>
      <c r="D303" s="517"/>
      <c r="E303" s="579"/>
      <c r="F303" s="319">
        <v>30</v>
      </c>
      <c r="G303" s="79"/>
      <c r="H303" s="319">
        <v>413</v>
      </c>
      <c r="I303" s="274" t="s">
        <v>33</v>
      </c>
      <c r="J303" s="54">
        <v>50000</v>
      </c>
      <c r="K303" s="54"/>
      <c r="L303" s="54">
        <f t="shared" si="23"/>
        <v>50000</v>
      </c>
    </row>
    <row r="304" spans="1:12" x14ac:dyDescent="0.2">
      <c r="A304" s="517"/>
      <c r="B304" s="185"/>
      <c r="C304" s="185"/>
      <c r="D304" s="517"/>
      <c r="E304" s="579"/>
      <c r="F304" s="319">
        <v>31</v>
      </c>
      <c r="G304" s="79"/>
      <c r="H304" s="319">
        <v>414</v>
      </c>
      <c r="I304" s="275" t="s">
        <v>34</v>
      </c>
      <c r="J304" s="54">
        <v>200000</v>
      </c>
      <c r="K304" s="54"/>
      <c r="L304" s="54">
        <f t="shared" si="23"/>
        <v>200000</v>
      </c>
    </row>
    <row r="305" spans="1:13" x14ac:dyDescent="0.2">
      <c r="A305" s="517"/>
      <c r="B305" s="185"/>
      <c r="C305" s="185"/>
      <c r="D305" s="517"/>
      <c r="E305" s="579"/>
      <c r="F305" s="319">
        <v>32</v>
      </c>
      <c r="G305" s="79"/>
      <c r="H305" s="319">
        <v>415</v>
      </c>
      <c r="I305" s="274" t="s">
        <v>5</v>
      </c>
      <c r="J305" s="54">
        <v>100000</v>
      </c>
      <c r="K305" s="54"/>
      <c r="L305" s="54">
        <f t="shared" si="23"/>
        <v>100000</v>
      </c>
    </row>
    <row r="306" spans="1:13" x14ac:dyDescent="0.2">
      <c r="A306" s="517"/>
      <c r="B306" s="185"/>
      <c r="C306" s="185"/>
      <c r="D306" s="517"/>
      <c r="E306" s="579"/>
      <c r="F306" s="319">
        <v>33</v>
      </c>
      <c r="G306" s="79"/>
      <c r="H306" s="319">
        <v>416</v>
      </c>
      <c r="I306" s="274" t="s">
        <v>6</v>
      </c>
      <c r="J306" s="361">
        <v>8800000</v>
      </c>
      <c r="K306" s="54"/>
      <c r="L306" s="54">
        <f t="shared" si="23"/>
        <v>8800000</v>
      </c>
    </row>
    <row r="307" spans="1:13" x14ac:dyDescent="0.2">
      <c r="A307" s="517"/>
      <c r="B307" s="185"/>
      <c r="C307" s="185"/>
      <c r="D307" s="517"/>
      <c r="E307" s="579"/>
      <c r="F307" s="319">
        <v>34</v>
      </c>
      <c r="G307" s="79"/>
      <c r="H307" s="319">
        <v>421</v>
      </c>
      <c r="I307" s="274" t="s">
        <v>7</v>
      </c>
      <c r="J307" s="54">
        <v>4000000</v>
      </c>
      <c r="K307" s="54"/>
      <c r="L307" s="54">
        <f t="shared" si="23"/>
        <v>4000000</v>
      </c>
    </row>
    <row r="308" spans="1:13" x14ac:dyDescent="0.2">
      <c r="A308" s="517"/>
      <c r="B308" s="185"/>
      <c r="C308" s="185"/>
      <c r="D308" s="517"/>
      <c r="E308" s="579"/>
      <c r="F308" s="319">
        <v>35</v>
      </c>
      <c r="G308" s="79"/>
      <c r="H308" s="319">
        <v>422</v>
      </c>
      <c r="I308" s="274" t="s">
        <v>8</v>
      </c>
      <c r="J308" s="54">
        <v>3500000</v>
      </c>
      <c r="K308" s="54"/>
      <c r="L308" s="54">
        <f t="shared" si="23"/>
        <v>3500000</v>
      </c>
      <c r="M308" s="1006"/>
    </row>
    <row r="309" spans="1:13" x14ac:dyDescent="0.2">
      <c r="A309" s="517"/>
      <c r="B309" s="185"/>
      <c r="C309" s="185"/>
      <c r="D309" s="517"/>
      <c r="E309" s="579"/>
      <c r="F309" s="319">
        <v>36</v>
      </c>
      <c r="G309" s="79"/>
      <c r="H309" s="319">
        <v>423</v>
      </c>
      <c r="I309" s="275" t="s">
        <v>9</v>
      </c>
      <c r="J309" s="54">
        <v>30000000</v>
      </c>
      <c r="K309" s="54"/>
      <c r="L309" s="54">
        <f t="shared" si="23"/>
        <v>30000000</v>
      </c>
    </row>
    <row r="310" spans="1:13" x14ac:dyDescent="0.2">
      <c r="A310" s="517"/>
      <c r="B310" s="185"/>
      <c r="C310" s="185"/>
      <c r="D310" s="517"/>
      <c r="E310" s="579"/>
      <c r="F310" s="319">
        <v>37</v>
      </c>
      <c r="G310" s="79"/>
      <c r="H310" s="319">
        <v>424</v>
      </c>
      <c r="I310" s="275" t="s">
        <v>10</v>
      </c>
      <c r="J310" s="54">
        <v>2000000</v>
      </c>
      <c r="K310" s="54"/>
      <c r="L310" s="54">
        <f t="shared" si="23"/>
        <v>2000000</v>
      </c>
      <c r="M310" s="1006"/>
    </row>
    <row r="311" spans="1:13" x14ac:dyDescent="0.2">
      <c r="A311" s="517"/>
      <c r="B311" s="185"/>
      <c r="C311" s="185"/>
      <c r="D311" s="517"/>
      <c r="E311" s="579"/>
      <c r="F311" s="319">
        <v>38</v>
      </c>
      <c r="G311" s="79"/>
      <c r="H311" s="319">
        <v>426</v>
      </c>
      <c r="I311" s="275" t="s">
        <v>35</v>
      </c>
      <c r="J311" s="54">
        <v>1500000</v>
      </c>
      <c r="K311" s="54"/>
      <c r="L311" s="54">
        <f t="shared" si="23"/>
        <v>1500000</v>
      </c>
    </row>
    <row r="312" spans="1:13" x14ac:dyDescent="0.2">
      <c r="A312" s="517"/>
      <c r="B312" s="185"/>
      <c r="C312" s="185"/>
      <c r="D312" s="517"/>
      <c r="E312" s="579"/>
      <c r="F312" s="319">
        <v>39</v>
      </c>
      <c r="G312" s="79"/>
      <c r="H312" s="319">
        <v>465</v>
      </c>
      <c r="I312" s="275" t="s">
        <v>167</v>
      </c>
      <c r="J312" s="54">
        <v>671400</v>
      </c>
      <c r="K312" s="54"/>
      <c r="L312" s="54">
        <f t="shared" si="23"/>
        <v>671400</v>
      </c>
    </row>
    <row r="313" spans="1:13" x14ac:dyDescent="0.2">
      <c r="A313" s="517"/>
      <c r="B313" s="185"/>
      <c r="C313" s="185"/>
      <c r="D313" s="517"/>
      <c r="E313" s="579"/>
      <c r="F313" s="319"/>
      <c r="G313" s="79"/>
      <c r="H313" s="319"/>
      <c r="I313" s="283" t="s">
        <v>616</v>
      </c>
      <c r="J313" s="364">
        <f>SUM(J301:J312)</f>
        <v>57492900</v>
      </c>
      <c r="K313" s="364"/>
      <c r="L313" s="365">
        <f t="shared" ref="L313" si="24">SUM(L301:L312)</f>
        <v>57492900</v>
      </c>
    </row>
    <row r="314" spans="1:13" x14ac:dyDescent="0.2">
      <c r="A314" s="517"/>
      <c r="B314" s="185"/>
      <c r="C314" s="185"/>
      <c r="D314" s="517"/>
      <c r="E314" s="579"/>
      <c r="F314" s="311"/>
      <c r="G314" s="55" t="s">
        <v>37</v>
      </c>
      <c r="H314" s="313"/>
      <c r="I314" s="220" t="s">
        <v>38</v>
      </c>
      <c r="J314" s="59">
        <f>SUM(J313-J315)</f>
        <v>56492900</v>
      </c>
      <c r="K314" s="59"/>
      <c r="L314" s="59">
        <f>SUM(J314+K314)</f>
        <v>56492900</v>
      </c>
    </row>
    <row r="315" spans="1:13" x14ac:dyDescent="0.2">
      <c r="A315" s="517"/>
      <c r="B315" s="185"/>
      <c r="C315" s="185"/>
      <c r="D315" s="517"/>
      <c r="E315" s="579"/>
      <c r="F315" s="311"/>
      <c r="G315" s="55" t="s">
        <v>113</v>
      </c>
      <c r="H315" s="313"/>
      <c r="I315" s="220" t="s">
        <v>280</v>
      </c>
      <c r="J315" s="76">
        <v>1000000</v>
      </c>
      <c r="K315" s="76"/>
      <c r="L315" s="59">
        <f>SUM(J315+K315)</f>
        <v>1000000</v>
      </c>
    </row>
    <row r="316" spans="1:13" x14ac:dyDescent="0.2">
      <c r="A316" s="517"/>
      <c r="B316" s="185"/>
      <c r="C316" s="185"/>
      <c r="D316" s="517"/>
      <c r="E316" s="579"/>
      <c r="F316" s="319"/>
      <c r="G316" s="318"/>
      <c r="H316" s="313"/>
      <c r="I316" s="681"/>
      <c r="J316" s="362"/>
      <c r="K316" s="362"/>
      <c r="L316" s="363"/>
    </row>
    <row r="317" spans="1:13" x14ac:dyDescent="0.2">
      <c r="A317" s="517"/>
      <c r="B317" s="185"/>
      <c r="C317" s="185"/>
      <c r="D317" s="517"/>
      <c r="E317" s="579"/>
      <c r="F317" s="319"/>
      <c r="G317" s="79"/>
      <c r="H317" s="316"/>
      <c r="I317" s="186"/>
      <c r="J317" s="192"/>
      <c r="K317" s="192"/>
      <c r="L317" s="192"/>
    </row>
    <row r="318" spans="1:13" x14ac:dyDescent="0.2">
      <c r="A318" s="651" t="s">
        <v>414</v>
      </c>
      <c r="B318" s="651"/>
      <c r="C318" s="651"/>
      <c r="D318" s="652"/>
      <c r="E318" s="653"/>
      <c r="F318" s="319"/>
      <c r="G318" s="654"/>
      <c r="H318" s="316"/>
      <c r="I318" s="655" t="s">
        <v>670</v>
      </c>
      <c r="J318" s="250"/>
      <c r="K318" s="250"/>
      <c r="L318" s="251"/>
    </row>
    <row r="319" spans="1:13" x14ac:dyDescent="0.2">
      <c r="A319" s="656"/>
      <c r="B319" s="657"/>
      <c r="C319" s="657"/>
      <c r="D319" s="658" t="s">
        <v>429</v>
      </c>
      <c r="E319" s="617"/>
      <c r="F319" s="799"/>
      <c r="G319" s="659"/>
      <c r="H319" s="660"/>
      <c r="I319" s="661" t="s">
        <v>428</v>
      </c>
      <c r="J319" s="662">
        <f>SUM(J328)</f>
        <v>7600000</v>
      </c>
      <c r="K319" s="662"/>
      <c r="L319" s="682">
        <f>SUM(J319:K319)</f>
        <v>7600000</v>
      </c>
    </row>
    <row r="320" spans="1:13" x14ac:dyDescent="0.2">
      <c r="A320" s="663"/>
      <c r="B320" s="664"/>
      <c r="C320" s="664"/>
      <c r="D320" s="665"/>
      <c r="E320" s="626"/>
      <c r="F320" s="780"/>
      <c r="G320" s="666"/>
      <c r="H320" s="667"/>
      <c r="I320" s="668"/>
      <c r="J320" s="378"/>
      <c r="K320" s="378"/>
      <c r="L320" s="680"/>
    </row>
    <row r="321" spans="1:12" x14ac:dyDescent="0.2">
      <c r="A321" s="517"/>
      <c r="B321" s="185"/>
      <c r="C321" s="185"/>
      <c r="D321" s="517"/>
      <c r="E321" s="580"/>
      <c r="F321" s="493"/>
      <c r="G321" s="669"/>
      <c r="H321" s="670"/>
      <c r="I321" s="671" t="s">
        <v>237</v>
      </c>
      <c r="J321" s="672"/>
      <c r="K321" s="672"/>
      <c r="L321" s="673"/>
    </row>
    <row r="322" spans="1:12" x14ac:dyDescent="0.2">
      <c r="A322" s="517"/>
      <c r="B322" s="185"/>
      <c r="C322" s="185"/>
      <c r="D322" s="185"/>
      <c r="E322" s="580" t="s">
        <v>431</v>
      </c>
      <c r="F322" s="493"/>
      <c r="G322" s="669"/>
      <c r="H322" s="674"/>
      <c r="I322" s="675" t="s">
        <v>432</v>
      </c>
      <c r="J322" s="676"/>
      <c r="K322" s="676"/>
      <c r="L322" s="413"/>
    </row>
    <row r="323" spans="1:12" x14ac:dyDescent="0.2">
      <c r="E323" s="579"/>
      <c r="F323" s="311"/>
      <c r="G323" s="47"/>
      <c r="H323" s="313"/>
      <c r="I323" s="28"/>
      <c r="J323" s="522"/>
      <c r="K323" s="522"/>
      <c r="L323" s="679"/>
    </row>
    <row r="324" spans="1:12" ht="22.5" x14ac:dyDescent="0.2">
      <c r="A324" s="519"/>
      <c r="B324" s="49"/>
      <c r="C324" s="185">
        <v>110</v>
      </c>
      <c r="D324" s="517"/>
      <c r="E324" s="579"/>
      <c r="F324" s="319"/>
      <c r="G324" s="79"/>
      <c r="H324" s="316"/>
      <c r="I324" s="282" t="s">
        <v>289</v>
      </c>
      <c r="J324" s="362"/>
      <c r="K324" s="362"/>
      <c r="L324" s="363"/>
    </row>
    <row r="325" spans="1:12" x14ac:dyDescent="0.2">
      <c r="A325" s="519"/>
      <c r="B325" s="49"/>
      <c r="C325" s="185"/>
      <c r="D325" s="518"/>
      <c r="E325" s="579"/>
      <c r="F325" s="319"/>
      <c r="G325" s="79"/>
      <c r="H325" s="319"/>
      <c r="I325" s="186"/>
      <c r="J325" s="250"/>
      <c r="K325" s="250"/>
      <c r="L325" s="251"/>
    </row>
    <row r="326" spans="1:12" x14ac:dyDescent="0.2">
      <c r="A326" s="519"/>
      <c r="B326" s="49"/>
      <c r="C326" s="185"/>
      <c r="D326" s="517"/>
      <c r="E326" s="579"/>
      <c r="F326" s="319">
        <v>40</v>
      </c>
      <c r="G326" s="79"/>
      <c r="H326" s="319">
        <v>416</v>
      </c>
      <c r="I326" s="274" t="s">
        <v>6</v>
      </c>
      <c r="J326" s="54">
        <f>1000000+600000</f>
        <v>1600000</v>
      </c>
      <c r="K326" s="54"/>
      <c r="L326" s="54">
        <f t="shared" ref="L326:L327" si="25">SUM(J326+K326)</f>
        <v>1600000</v>
      </c>
    </row>
    <row r="327" spans="1:12" x14ac:dyDescent="0.2">
      <c r="A327" s="519"/>
      <c r="B327" s="49"/>
      <c r="C327" s="185"/>
      <c r="D327" s="517"/>
      <c r="E327" s="579"/>
      <c r="F327" s="319">
        <v>41</v>
      </c>
      <c r="G327" s="79"/>
      <c r="H327" s="319">
        <v>423</v>
      </c>
      <c r="I327" s="274" t="s">
        <v>9</v>
      </c>
      <c r="J327" s="54">
        <v>6000000</v>
      </c>
      <c r="K327" s="54"/>
      <c r="L327" s="54">
        <f t="shared" si="25"/>
        <v>6000000</v>
      </c>
    </row>
    <row r="328" spans="1:12" x14ac:dyDescent="0.2">
      <c r="A328" s="519"/>
      <c r="B328" s="49"/>
      <c r="C328" s="185"/>
      <c r="D328" s="517"/>
      <c r="E328" s="579"/>
      <c r="F328" s="319"/>
      <c r="G328" s="79"/>
      <c r="H328" s="319"/>
      <c r="I328" s="283" t="s">
        <v>616</v>
      </c>
      <c r="J328" s="364">
        <f>SUM(J326:J327)</f>
        <v>7600000</v>
      </c>
      <c r="K328" s="364"/>
      <c r="L328" s="365">
        <f>SUM(J328:K328)</f>
        <v>7600000</v>
      </c>
    </row>
    <row r="329" spans="1:12" ht="15" x14ac:dyDescent="0.25">
      <c r="A329" s="519"/>
      <c r="B329" s="49"/>
      <c r="C329" s="185"/>
      <c r="D329" s="517"/>
      <c r="E329" s="579"/>
      <c r="F329" s="319"/>
      <c r="G329" s="318" t="s">
        <v>37</v>
      </c>
      <c r="H329" s="317"/>
      <c r="I329" s="216" t="s">
        <v>38</v>
      </c>
      <c r="J329" s="199">
        <f>SUM(J328)</f>
        <v>7600000</v>
      </c>
      <c r="K329" s="199"/>
      <c r="L329" s="199">
        <f>SUM(J329+K329)</f>
        <v>7600000</v>
      </c>
    </row>
    <row r="330" spans="1:12" x14ac:dyDescent="0.2">
      <c r="A330" s="517"/>
      <c r="B330" s="185"/>
      <c r="C330" s="185"/>
      <c r="D330" s="517"/>
      <c r="E330" s="579"/>
      <c r="F330" s="319"/>
      <c r="G330" s="79"/>
      <c r="H330" s="316"/>
      <c r="I330" s="186"/>
      <c r="J330" s="192"/>
      <c r="K330" s="192"/>
      <c r="L330" s="327"/>
    </row>
    <row r="331" spans="1:12" x14ac:dyDescent="0.2">
      <c r="A331" s="517"/>
      <c r="B331" s="185"/>
      <c r="C331" s="185"/>
      <c r="D331" s="517"/>
      <c r="E331" s="579"/>
      <c r="F331" s="319"/>
      <c r="G331" s="79"/>
      <c r="H331" s="316"/>
      <c r="I331" s="186"/>
      <c r="J331" s="192"/>
      <c r="K331" s="192"/>
      <c r="L331" s="327"/>
    </row>
    <row r="332" spans="1:12" x14ac:dyDescent="0.2">
      <c r="A332" s="683" t="s">
        <v>697</v>
      </c>
      <c r="B332" s="683"/>
      <c r="C332" s="683"/>
      <c r="D332" s="684"/>
      <c r="E332" s="653"/>
      <c r="F332" s="311"/>
      <c r="G332" s="685"/>
      <c r="H332" s="312"/>
      <c r="I332" s="686" t="s">
        <v>49</v>
      </c>
      <c r="J332" s="687"/>
      <c r="K332" s="687"/>
      <c r="L332" s="688"/>
    </row>
    <row r="333" spans="1:12" x14ac:dyDescent="0.2">
      <c r="A333" s="689"/>
      <c r="B333" s="690"/>
      <c r="C333" s="690"/>
      <c r="D333" s="616" t="s">
        <v>239</v>
      </c>
      <c r="E333" s="617"/>
      <c r="F333" s="701"/>
      <c r="G333" s="691"/>
      <c r="H333" s="692"/>
      <c r="I333" s="693" t="s">
        <v>430</v>
      </c>
      <c r="J333" s="694">
        <f>SUM(J363+J372+J377+J384+J390+J395+J402+J409+J417+J424+J429+J436+J443)</f>
        <v>644829906.60000002</v>
      </c>
      <c r="K333" s="694"/>
      <c r="L333" s="694">
        <f t="shared" ref="L333" si="26">SUM(L363+L372+L377+L384+L390+L395+L402+L409+L417+L424+L429+L436+L443)</f>
        <v>644829906.60000002</v>
      </c>
    </row>
    <row r="334" spans="1:12" x14ac:dyDescent="0.2">
      <c r="A334" s="645"/>
      <c r="B334" s="646"/>
      <c r="C334" s="646"/>
      <c r="D334" s="625"/>
      <c r="E334" s="626"/>
      <c r="F334" s="442"/>
      <c r="G334" s="321"/>
      <c r="H334" s="647"/>
      <c r="I334" s="695"/>
      <c r="J334" s="326"/>
      <c r="K334" s="326"/>
      <c r="L334" s="57"/>
    </row>
    <row r="335" spans="1:12" x14ac:dyDescent="0.2">
      <c r="A335" s="519"/>
      <c r="B335" s="49"/>
      <c r="D335" s="519"/>
      <c r="E335" s="580"/>
      <c r="F335" s="439"/>
      <c r="G335" s="329"/>
      <c r="H335" s="457"/>
      <c r="I335" s="396" t="s">
        <v>272</v>
      </c>
      <c r="J335" s="494"/>
      <c r="K335" s="494"/>
      <c r="L335" s="331"/>
    </row>
    <row r="336" spans="1:12" x14ac:dyDescent="0.2">
      <c r="A336" s="519"/>
      <c r="B336" s="49"/>
      <c r="D336" s="49"/>
      <c r="E336" s="580" t="s">
        <v>262</v>
      </c>
      <c r="F336" s="439"/>
      <c r="G336" s="329"/>
      <c r="H336" s="460"/>
      <c r="I336" s="398" t="s">
        <v>263</v>
      </c>
      <c r="J336" s="399"/>
      <c r="K336" s="399"/>
      <c r="L336" s="402"/>
    </row>
    <row r="337" spans="1:13" x14ac:dyDescent="0.2">
      <c r="A337" s="613"/>
      <c r="B337" s="436"/>
      <c r="C337" s="436"/>
      <c r="D337" s="436"/>
      <c r="E337" s="582"/>
      <c r="F337" s="441"/>
      <c r="G337" s="230"/>
      <c r="H337" s="340"/>
      <c r="I337" s="18"/>
      <c r="J337" s="31"/>
      <c r="K337" s="31"/>
      <c r="L337" s="77"/>
      <c r="M337" s="27"/>
    </row>
    <row r="338" spans="1:13" x14ac:dyDescent="0.2">
      <c r="A338" s="519"/>
      <c r="B338" s="696"/>
      <c r="C338" s="49">
        <v>130</v>
      </c>
      <c r="D338" s="49"/>
      <c r="E338" s="579"/>
      <c r="F338" s="311"/>
      <c r="G338" s="47"/>
      <c r="H338" s="311"/>
      <c r="I338" s="238" t="s">
        <v>50</v>
      </c>
      <c r="J338" s="127"/>
      <c r="K338" s="127"/>
      <c r="L338" s="232"/>
    </row>
    <row r="339" spans="1:13" x14ac:dyDescent="0.2">
      <c r="A339" s="519"/>
      <c r="B339" s="696"/>
      <c r="D339" s="49"/>
      <c r="E339" s="579"/>
      <c r="F339" s="311"/>
      <c r="G339" s="47"/>
      <c r="H339" s="311"/>
      <c r="I339" s="26"/>
      <c r="J339" s="127"/>
      <c r="K339" s="127"/>
      <c r="L339" s="232"/>
    </row>
    <row r="340" spans="1:13" x14ac:dyDescent="0.2">
      <c r="A340" s="519"/>
      <c r="B340" s="697"/>
      <c r="D340" s="519"/>
      <c r="E340" s="579"/>
      <c r="F340" s="311">
        <v>42</v>
      </c>
      <c r="G340" s="47"/>
      <c r="H340" s="311">
        <v>411</v>
      </c>
      <c r="I340" s="220" t="s">
        <v>2</v>
      </c>
      <c r="J340" s="221">
        <f>95317000+276000</f>
        <v>95593000</v>
      </c>
      <c r="K340" s="59"/>
      <c r="L340" s="59">
        <f t="shared" ref="L340:L362" si="27">SUM(J340+K340)</f>
        <v>95593000</v>
      </c>
    </row>
    <row r="341" spans="1:13" x14ac:dyDescent="0.2">
      <c r="A341" s="519"/>
      <c r="B341" s="49"/>
      <c r="D341" s="519"/>
      <c r="E341" s="579"/>
      <c r="F341" s="311">
        <v>43</v>
      </c>
      <c r="G341" s="47"/>
      <c r="H341" s="311">
        <v>412</v>
      </c>
      <c r="I341" s="270" t="s">
        <v>3</v>
      </c>
      <c r="J341" s="221">
        <v>16395000</v>
      </c>
      <c r="K341" s="59"/>
      <c r="L341" s="59">
        <f t="shared" si="27"/>
        <v>16395000</v>
      </c>
    </row>
    <row r="342" spans="1:13" x14ac:dyDescent="0.2">
      <c r="A342" s="519"/>
      <c r="B342" s="49"/>
      <c r="D342" s="519"/>
      <c r="E342" s="579"/>
      <c r="F342" s="311">
        <v>44</v>
      </c>
      <c r="G342" s="47"/>
      <c r="H342" s="311">
        <v>413</v>
      </c>
      <c r="I342" s="220" t="s">
        <v>33</v>
      </c>
      <c r="J342" s="59">
        <v>1500000</v>
      </c>
      <c r="K342" s="59"/>
      <c r="L342" s="59">
        <f t="shared" si="27"/>
        <v>1500000</v>
      </c>
    </row>
    <row r="343" spans="1:13" x14ac:dyDescent="0.2">
      <c r="A343" s="519"/>
      <c r="B343" s="49"/>
      <c r="D343" s="519"/>
      <c r="E343" s="579"/>
      <c r="F343" s="311">
        <v>45</v>
      </c>
      <c r="G343" s="47"/>
      <c r="H343" s="311">
        <v>414</v>
      </c>
      <c r="I343" s="220" t="s">
        <v>4</v>
      </c>
      <c r="J343" s="59">
        <v>4600000</v>
      </c>
      <c r="K343" s="59"/>
      <c r="L343" s="59">
        <f t="shared" si="27"/>
        <v>4600000</v>
      </c>
    </row>
    <row r="344" spans="1:13" x14ac:dyDescent="0.2">
      <c r="A344" s="519"/>
      <c r="B344" s="49"/>
      <c r="D344" s="519"/>
      <c r="E344" s="579"/>
      <c r="F344" s="311">
        <v>46</v>
      </c>
      <c r="G344" s="47"/>
      <c r="H344" s="311">
        <v>415</v>
      </c>
      <c r="I344" s="270" t="s">
        <v>5</v>
      </c>
      <c r="J344" s="59">
        <v>3200000</v>
      </c>
      <c r="K344" s="59"/>
      <c r="L344" s="59">
        <f t="shared" si="27"/>
        <v>3200000</v>
      </c>
    </row>
    <row r="345" spans="1:13" x14ac:dyDescent="0.2">
      <c r="A345" s="519"/>
      <c r="B345" s="49"/>
      <c r="D345" s="519"/>
      <c r="E345" s="579"/>
      <c r="F345" s="311">
        <v>47</v>
      </c>
      <c r="G345" s="47"/>
      <c r="H345" s="311">
        <v>416</v>
      </c>
      <c r="I345" s="270" t="s">
        <v>6</v>
      </c>
      <c r="J345" s="59">
        <v>2000000</v>
      </c>
      <c r="K345" s="59"/>
      <c r="L345" s="59">
        <f t="shared" si="27"/>
        <v>2000000</v>
      </c>
    </row>
    <row r="346" spans="1:13" x14ac:dyDescent="0.2">
      <c r="A346" s="49"/>
      <c r="B346" s="49"/>
      <c r="D346" s="49"/>
      <c r="E346" s="579"/>
      <c r="F346" s="311">
        <v>48</v>
      </c>
      <c r="G346" s="47"/>
      <c r="H346" s="311">
        <v>421</v>
      </c>
      <c r="I346" s="270" t="s">
        <v>7</v>
      </c>
      <c r="J346" s="59">
        <f>36579862.82-1741.96+200+67-88368-586.6+110.46+348.01+200+2777.75-77.9-1620.18</f>
        <v>36491171.399999999</v>
      </c>
      <c r="K346" s="59"/>
      <c r="L346" s="59">
        <f t="shared" si="27"/>
        <v>36491171.399999999</v>
      </c>
    </row>
    <row r="347" spans="1:13" x14ac:dyDescent="0.2">
      <c r="A347" s="519"/>
      <c r="B347" s="49"/>
      <c r="D347" s="519"/>
      <c r="E347" s="579"/>
      <c r="F347" s="311">
        <v>49</v>
      </c>
      <c r="G347" s="47"/>
      <c r="H347" s="311">
        <v>422</v>
      </c>
      <c r="I347" s="220" t="s">
        <v>8</v>
      </c>
      <c r="J347" s="59">
        <v>2000000</v>
      </c>
      <c r="K347" s="59"/>
      <c r="L347" s="59">
        <f t="shared" si="27"/>
        <v>2000000</v>
      </c>
    </row>
    <row r="348" spans="1:13" x14ac:dyDescent="0.2">
      <c r="A348" s="519"/>
      <c r="B348" s="49"/>
      <c r="D348" s="519"/>
      <c r="E348" s="579"/>
      <c r="F348" s="311">
        <v>50</v>
      </c>
      <c r="G348" s="47"/>
      <c r="H348" s="311">
        <v>423</v>
      </c>
      <c r="I348" s="220" t="s">
        <v>9</v>
      </c>
      <c r="J348" s="59">
        <v>31100000</v>
      </c>
      <c r="K348" s="59"/>
      <c r="L348" s="59">
        <f t="shared" si="27"/>
        <v>31100000</v>
      </c>
    </row>
    <row r="349" spans="1:13" x14ac:dyDescent="0.2">
      <c r="A349" s="519"/>
      <c r="B349" s="49"/>
      <c r="D349" s="519"/>
      <c r="E349" s="579"/>
      <c r="F349" s="311">
        <v>51</v>
      </c>
      <c r="G349" s="47"/>
      <c r="H349" s="311">
        <v>424</v>
      </c>
      <c r="I349" s="220" t="s">
        <v>10</v>
      </c>
      <c r="J349" s="59">
        <f>25200000+600000+1000000</f>
        <v>26800000</v>
      </c>
      <c r="K349" s="59"/>
      <c r="L349" s="59">
        <f t="shared" si="27"/>
        <v>26800000</v>
      </c>
    </row>
    <row r="350" spans="1:13" x14ac:dyDescent="0.2">
      <c r="A350" s="519"/>
      <c r="B350" s="49"/>
      <c r="D350" s="519"/>
      <c r="E350" s="579"/>
      <c r="F350" s="311">
        <v>52</v>
      </c>
      <c r="G350" s="47"/>
      <c r="H350" s="311">
        <v>425</v>
      </c>
      <c r="I350" s="220" t="s">
        <v>11</v>
      </c>
      <c r="J350" s="59">
        <v>21200000</v>
      </c>
      <c r="K350" s="59"/>
      <c r="L350" s="59">
        <f t="shared" si="27"/>
        <v>21200000</v>
      </c>
    </row>
    <row r="351" spans="1:13" x14ac:dyDescent="0.2">
      <c r="A351" s="519"/>
      <c r="B351" s="49"/>
      <c r="D351" s="519"/>
      <c r="E351" s="579"/>
      <c r="F351" s="311">
        <v>53</v>
      </c>
      <c r="G351" s="47"/>
      <c r="H351" s="311">
        <v>426</v>
      </c>
      <c r="I351" s="220" t="s">
        <v>35</v>
      </c>
      <c r="J351" s="59">
        <v>33900000</v>
      </c>
      <c r="K351" s="59"/>
      <c r="L351" s="59">
        <f t="shared" si="27"/>
        <v>33900000</v>
      </c>
    </row>
    <row r="352" spans="1:13" x14ac:dyDescent="0.2">
      <c r="A352" s="519"/>
      <c r="B352" s="49"/>
      <c r="D352" s="519"/>
      <c r="E352" s="579"/>
      <c r="F352" s="311">
        <v>54</v>
      </c>
      <c r="G352" s="47"/>
      <c r="H352" s="311">
        <v>441</v>
      </c>
      <c r="I352" s="220" t="s">
        <v>13</v>
      </c>
      <c r="J352" s="59">
        <v>1000000</v>
      </c>
      <c r="K352" s="59"/>
      <c r="L352" s="59">
        <f t="shared" si="27"/>
        <v>1000000</v>
      </c>
    </row>
    <row r="353" spans="1:12" x14ac:dyDescent="0.2">
      <c r="A353" s="519"/>
      <c r="B353" s="49"/>
      <c r="D353" s="519"/>
      <c r="E353" s="579"/>
      <c r="F353" s="311">
        <v>55</v>
      </c>
      <c r="G353" s="47"/>
      <c r="H353" s="311">
        <v>444</v>
      </c>
      <c r="I353" s="220" t="s">
        <v>14</v>
      </c>
      <c r="J353" s="59">
        <v>500000</v>
      </c>
      <c r="K353" s="59"/>
      <c r="L353" s="59">
        <f t="shared" si="27"/>
        <v>500000</v>
      </c>
    </row>
    <row r="354" spans="1:12" x14ac:dyDescent="0.2">
      <c r="A354" s="519"/>
      <c r="B354" s="49"/>
      <c r="D354" s="519"/>
      <c r="E354" s="579"/>
      <c r="F354" s="311">
        <v>56</v>
      </c>
      <c r="G354" s="47"/>
      <c r="H354" s="311">
        <v>465</v>
      </c>
      <c r="I354" s="220" t="s">
        <v>167</v>
      </c>
      <c r="J354" s="59">
        <v>11237500</v>
      </c>
      <c r="K354" s="59"/>
      <c r="L354" s="59">
        <f t="shared" si="27"/>
        <v>11237500</v>
      </c>
    </row>
    <row r="355" spans="1:12" x14ac:dyDescent="0.2">
      <c r="A355" s="519"/>
      <c r="B355" s="49"/>
      <c r="D355" s="519"/>
      <c r="E355" s="579"/>
      <c r="F355" s="311">
        <v>57</v>
      </c>
      <c r="G355" s="47"/>
      <c r="H355" s="311">
        <v>482</v>
      </c>
      <c r="I355" s="220" t="s">
        <v>17</v>
      </c>
      <c r="J355" s="59">
        <v>1200000</v>
      </c>
      <c r="K355" s="59"/>
      <c r="L355" s="59">
        <f t="shared" si="27"/>
        <v>1200000</v>
      </c>
    </row>
    <row r="356" spans="1:12" x14ac:dyDescent="0.2">
      <c r="A356" s="49"/>
      <c r="B356" s="49"/>
      <c r="D356" s="49"/>
      <c r="E356" s="579"/>
      <c r="F356" s="311">
        <v>58</v>
      </c>
      <c r="G356" s="47"/>
      <c r="H356" s="311">
        <v>483</v>
      </c>
      <c r="I356" s="270" t="s">
        <v>18</v>
      </c>
      <c r="J356" s="59">
        <v>98800000</v>
      </c>
      <c r="K356" s="59"/>
      <c r="L356" s="59">
        <f t="shared" si="27"/>
        <v>98800000</v>
      </c>
    </row>
    <row r="357" spans="1:12" x14ac:dyDescent="0.2">
      <c r="A357" s="49"/>
      <c r="B357" s="49"/>
      <c r="D357" s="49"/>
      <c r="E357" s="579"/>
      <c r="F357" s="311">
        <v>59</v>
      </c>
      <c r="G357" s="47"/>
      <c r="H357" s="311">
        <v>485</v>
      </c>
      <c r="I357" s="270" t="s">
        <v>626</v>
      </c>
      <c r="J357" s="59">
        <v>20000000</v>
      </c>
      <c r="K357" s="59"/>
      <c r="L357" s="59">
        <f t="shared" si="27"/>
        <v>20000000</v>
      </c>
    </row>
    <row r="358" spans="1:12" x14ac:dyDescent="0.2">
      <c r="A358" s="519"/>
      <c r="B358" s="49"/>
      <c r="D358" s="519"/>
      <c r="E358" s="579"/>
      <c r="F358" s="311">
        <v>60</v>
      </c>
      <c r="G358" s="47"/>
      <c r="H358" s="311">
        <v>511</v>
      </c>
      <c r="I358" s="220" t="s">
        <v>20</v>
      </c>
      <c r="J358" s="59">
        <f>30910000+120000+500000+600000</f>
        <v>32130000</v>
      </c>
      <c r="K358" s="59"/>
      <c r="L358" s="59">
        <f t="shared" si="27"/>
        <v>32130000</v>
      </c>
    </row>
    <row r="359" spans="1:12" x14ac:dyDescent="0.2">
      <c r="A359" s="519"/>
      <c r="B359" s="49"/>
      <c r="D359" s="519"/>
      <c r="E359" s="579"/>
      <c r="F359" s="311">
        <v>61</v>
      </c>
      <c r="G359" s="47"/>
      <c r="H359" s="311">
        <v>512</v>
      </c>
      <c r="I359" s="220" t="s">
        <v>51</v>
      </c>
      <c r="J359" s="59">
        <v>25100000</v>
      </c>
      <c r="K359" s="59"/>
      <c r="L359" s="59">
        <f t="shared" si="27"/>
        <v>25100000</v>
      </c>
    </row>
    <row r="360" spans="1:12" x14ac:dyDescent="0.2">
      <c r="A360" s="519"/>
      <c r="B360" s="49"/>
      <c r="D360" s="519"/>
      <c r="E360" s="579"/>
      <c r="F360" s="311">
        <v>62</v>
      </c>
      <c r="G360" s="47"/>
      <c r="H360" s="311">
        <v>515</v>
      </c>
      <c r="I360" s="220" t="s">
        <v>23</v>
      </c>
      <c r="J360" s="59">
        <v>700000</v>
      </c>
      <c r="K360" s="59"/>
      <c r="L360" s="59">
        <f t="shared" si="27"/>
        <v>700000</v>
      </c>
    </row>
    <row r="361" spans="1:12" x14ac:dyDescent="0.2">
      <c r="A361" s="519"/>
      <c r="B361" s="49"/>
      <c r="D361" s="519"/>
      <c r="E361" s="579"/>
      <c r="F361" s="311">
        <v>63</v>
      </c>
      <c r="G361" s="47"/>
      <c r="H361" s="311">
        <v>541</v>
      </c>
      <c r="I361" s="220" t="s">
        <v>25</v>
      </c>
      <c r="J361" s="64">
        <v>72000000</v>
      </c>
      <c r="K361" s="59"/>
      <c r="L361" s="59">
        <f t="shared" si="27"/>
        <v>72000000</v>
      </c>
    </row>
    <row r="362" spans="1:12" x14ac:dyDescent="0.2">
      <c r="A362" s="519"/>
      <c r="B362" s="49"/>
      <c r="D362" s="519"/>
      <c r="E362" s="579"/>
      <c r="F362" s="311">
        <v>64</v>
      </c>
      <c r="G362" s="47"/>
      <c r="H362" s="311">
        <v>621</v>
      </c>
      <c r="I362" s="220" t="s">
        <v>26</v>
      </c>
      <c r="J362" s="59">
        <v>100000</v>
      </c>
      <c r="K362" s="59"/>
      <c r="L362" s="59">
        <f t="shared" si="27"/>
        <v>100000</v>
      </c>
    </row>
    <row r="363" spans="1:12" x14ac:dyDescent="0.2">
      <c r="A363" s="519"/>
      <c r="B363" s="49"/>
      <c r="D363" s="519"/>
      <c r="E363" s="579"/>
      <c r="F363" s="311"/>
      <c r="G363" s="47"/>
      <c r="H363" s="311"/>
      <c r="I363" s="229" t="s">
        <v>600</v>
      </c>
      <c r="J363" s="60">
        <f>SUM(J340:J362)</f>
        <v>537546671.39999998</v>
      </c>
      <c r="K363" s="60"/>
      <c r="L363" s="60">
        <f t="shared" ref="L363" si="28">SUM(L340:L362)</f>
        <v>537546671.39999998</v>
      </c>
    </row>
    <row r="364" spans="1:12" x14ac:dyDescent="0.2">
      <c r="A364" s="519"/>
      <c r="B364" s="49"/>
      <c r="D364" s="519"/>
      <c r="E364" s="579"/>
      <c r="F364" s="311"/>
      <c r="G364" s="55" t="s">
        <v>37</v>
      </c>
      <c r="H364" s="313"/>
      <c r="I364" s="220" t="s">
        <v>38</v>
      </c>
      <c r="J364" s="59">
        <f>SUM(J363-J365)</f>
        <v>537545671.39999998</v>
      </c>
      <c r="K364" s="59"/>
      <c r="L364" s="59">
        <f>SUM(J364+K364)</f>
        <v>537545671.39999998</v>
      </c>
    </row>
    <row r="365" spans="1:12" x14ac:dyDescent="0.2">
      <c r="A365" s="519"/>
      <c r="B365" s="49"/>
      <c r="D365" s="519"/>
      <c r="E365" s="579"/>
      <c r="F365" s="311"/>
      <c r="G365" s="55" t="s">
        <v>113</v>
      </c>
      <c r="H365" s="313"/>
      <c r="I365" s="220" t="s">
        <v>280</v>
      </c>
      <c r="J365" s="59">
        <v>1000</v>
      </c>
      <c r="K365" s="59"/>
      <c r="L365" s="59">
        <f>SUM(J365+K365)</f>
        <v>1000</v>
      </c>
    </row>
    <row r="366" spans="1:12" x14ac:dyDescent="0.2">
      <c r="A366" s="519"/>
      <c r="B366" s="49"/>
      <c r="D366" s="519"/>
      <c r="E366" s="579"/>
      <c r="F366" s="311"/>
      <c r="G366" s="47"/>
      <c r="H366" s="312"/>
      <c r="I366" s="114" t="s">
        <v>600</v>
      </c>
      <c r="J366" s="60">
        <f>SUM(J363)</f>
        <v>537546671.39999998</v>
      </c>
      <c r="K366" s="60"/>
      <c r="L366" s="60">
        <f>SUM(J366:K366)</f>
        <v>537546671.39999998</v>
      </c>
    </row>
    <row r="367" spans="1:12" x14ac:dyDescent="0.2">
      <c r="A367" s="519"/>
      <c r="B367" s="49"/>
      <c r="D367" s="519"/>
      <c r="E367" s="579"/>
      <c r="F367" s="311"/>
      <c r="G367" s="47"/>
      <c r="H367" s="312"/>
      <c r="I367" s="269"/>
      <c r="J367" s="30"/>
      <c r="K367" s="30"/>
      <c r="L367" s="30"/>
    </row>
    <row r="368" spans="1:12" x14ac:dyDescent="0.2">
      <c r="A368" s="519"/>
      <c r="B368" s="49"/>
      <c r="D368" s="519"/>
      <c r="E368" s="580" t="s">
        <v>689</v>
      </c>
      <c r="F368" s="439"/>
      <c r="G368" s="329"/>
      <c r="H368" s="457"/>
      <c r="I368" s="797" t="s">
        <v>274</v>
      </c>
      <c r="J368" s="1106"/>
      <c r="K368" s="1107"/>
      <c r="L368" s="1108"/>
    </row>
    <row r="369" spans="1:15" x14ac:dyDescent="0.2">
      <c r="C369" s="49">
        <v>170</v>
      </c>
      <c r="D369" s="49"/>
      <c r="E369" s="580"/>
      <c r="F369" s="439"/>
      <c r="G369" s="329"/>
      <c r="H369" s="457"/>
      <c r="I369" s="798" t="s">
        <v>690</v>
      </c>
      <c r="J369" s="1109"/>
      <c r="K369" s="1110"/>
      <c r="L369" s="1111"/>
    </row>
    <row r="370" spans="1:15" x14ac:dyDescent="0.2">
      <c r="D370" s="49"/>
      <c r="E370" s="579"/>
      <c r="F370" s="311">
        <v>65</v>
      </c>
      <c r="G370" s="47"/>
      <c r="H370" s="312" t="s">
        <v>650</v>
      </c>
      <c r="I370" s="284" t="s">
        <v>13</v>
      </c>
      <c r="J370" s="59">
        <v>6500000</v>
      </c>
      <c r="K370" s="199"/>
      <c r="L370" s="59">
        <f>SUM(J370:K370)</f>
        <v>6500000</v>
      </c>
    </row>
    <row r="371" spans="1:15" x14ac:dyDescent="0.2">
      <c r="D371" s="49"/>
      <c r="E371" s="579"/>
      <c r="F371" s="311">
        <v>66</v>
      </c>
      <c r="G371" s="47"/>
      <c r="H371" s="312" t="s">
        <v>651</v>
      </c>
      <c r="I371" s="275" t="s">
        <v>14</v>
      </c>
      <c r="J371" s="59">
        <v>50000</v>
      </c>
      <c r="K371" s="199"/>
      <c r="L371" s="59">
        <f t="shared" ref="L371" si="29">SUM(J371:K371)</f>
        <v>50000</v>
      </c>
    </row>
    <row r="372" spans="1:15" x14ac:dyDescent="0.2">
      <c r="D372" s="49"/>
      <c r="E372" s="579"/>
      <c r="F372" s="311"/>
      <c r="G372" s="47"/>
      <c r="H372" s="458"/>
      <c r="I372" s="229" t="s">
        <v>691</v>
      </c>
      <c r="J372" s="199">
        <f>SUM(J370:J371)</f>
        <v>6550000</v>
      </c>
      <c r="K372" s="199"/>
      <c r="L372" s="199">
        <f>SUM(J372:K372)</f>
        <v>6550000</v>
      </c>
    </row>
    <row r="373" spans="1:15" ht="15" x14ac:dyDescent="0.25">
      <c r="D373" s="49"/>
      <c r="E373" s="579"/>
      <c r="F373" s="311"/>
      <c r="G373" s="55" t="s">
        <v>37</v>
      </c>
      <c r="H373" s="315"/>
      <c r="I373" s="220" t="s">
        <v>38</v>
      </c>
      <c r="J373" s="54">
        <f>SUM(J372)</f>
        <v>6550000</v>
      </c>
      <c r="K373" s="199"/>
      <c r="L373" s="59">
        <f>SUM(J373:K373)</f>
        <v>6550000</v>
      </c>
    </row>
    <row r="374" spans="1:15" x14ac:dyDescent="0.2">
      <c r="A374" s="519"/>
      <c r="B374" s="49"/>
      <c r="D374" s="519"/>
      <c r="E374" s="579"/>
      <c r="F374" s="311"/>
      <c r="G374" s="47"/>
      <c r="H374" s="470"/>
      <c r="I374" s="18"/>
      <c r="J374" s="192"/>
      <c r="K374" s="192"/>
      <c r="L374" s="192"/>
    </row>
    <row r="375" spans="1:15" x14ac:dyDescent="0.2">
      <c r="A375" s="519"/>
      <c r="B375" s="49"/>
      <c r="C375" s="185">
        <v>130</v>
      </c>
      <c r="D375" s="517"/>
      <c r="E375" s="581" t="s">
        <v>239</v>
      </c>
      <c r="F375" s="440"/>
      <c r="G375" s="332"/>
      <c r="H375" s="459"/>
      <c r="I375" s="333" t="s">
        <v>936</v>
      </c>
      <c r="J375" s="192"/>
      <c r="K375" s="192"/>
      <c r="L375" s="192"/>
    </row>
    <row r="376" spans="1:15" x14ac:dyDescent="0.2">
      <c r="A376" s="519"/>
      <c r="B376" s="49"/>
      <c r="C376" s="185"/>
      <c r="D376" s="517"/>
      <c r="E376" s="579"/>
      <c r="F376" s="319">
        <v>67</v>
      </c>
      <c r="G376" s="79"/>
      <c r="H376" s="319">
        <v>512</v>
      </c>
      <c r="I376" s="275" t="s">
        <v>51</v>
      </c>
      <c r="J376" s="939">
        <v>4053235.2</v>
      </c>
      <c r="K376" s="939"/>
      <c r="L376" s="939">
        <f t="shared" ref="L376" si="30">SUM(J376+K376)</f>
        <v>4053235.2</v>
      </c>
      <c r="N376" s="942"/>
    </row>
    <row r="377" spans="1:15" x14ac:dyDescent="0.2">
      <c r="A377" s="519"/>
      <c r="B377" s="49"/>
      <c r="C377" s="185"/>
      <c r="D377" s="517"/>
      <c r="E377" s="579"/>
      <c r="F377" s="319"/>
      <c r="G377" s="79"/>
      <c r="H377" s="319"/>
      <c r="I377" s="285" t="s">
        <v>742</v>
      </c>
      <c r="J377" s="940">
        <f>SUM(J376)</f>
        <v>4053235.2</v>
      </c>
      <c r="K377" s="940"/>
      <c r="L377" s="941">
        <f>SUM(J377:K377)</f>
        <v>4053235.2</v>
      </c>
    </row>
    <row r="378" spans="1:15" ht="15" x14ac:dyDescent="0.25">
      <c r="A378" s="519"/>
      <c r="B378" s="49"/>
      <c r="C378" s="185"/>
      <c r="D378" s="517"/>
      <c r="E378" s="579"/>
      <c r="F378" s="319"/>
      <c r="G378" s="318" t="s">
        <v>37</v>
      </c>
      <c r="H378" s="317"/>
      <c r="I378" s="275" t="s">
        <v>38</v>
      </c>
      <c r="J378" s="939">
        <f>SUM(J377-J379)</f>
        <v>4052235.2</v>
      </c>
      <c r="K378" s="939"/>
      <c r="L378" s="939">
        <f>SUM(J378+K378)</f>
        <v>4052235.2</v>
      </c>
    </row>
    <row r="379" spans="1:15" ht="15" x14ac:dyDescent="0.25">
      <c r="A379" s="519"/>
      <c r="B379" s="49"/>
      <c r="C379" s="185"/>
      <c r="D379" s="517"/>
      <c r="E379" s="579"/>
      <c r="F379" s="319"/>
      <c r="G379" s="318" t="s">
        <v>113</v>
      </c>
      <c r="H379" s="317"/>
      <c r="I379" s="275" t="s">
        <v>280</v>
      </c>
      <c r="J379" s="939">
        <v>1000</v>
      </c>
      <c r="K379" s="939"/>
      <c r="L379" s="939">
        <f>SUM(J379+K379)</f>
        <v>1000</v>
      </c>
      <c r="N379" s="163"/>
      <c r="O379" s="163"/>
    </row>
    <row r="380" spans="1:15" x14ac:dyDescent="0.2">
      <c r="D380" s="49"/>
      <c r="E380" s="579"/>
      <c r="F380" s="311"/>
      <c r="G380" s="47"/>
      <c r="H380" s="312"/>
      <c r="I380" s="26"/>
      <c r="J380" s="192"/>
      <c r="K380" s="192"/>
      <c r="L380" s="192"/>
      <c r="N380" s="163"/>
      <c r="O380" s="163"/>
    </row>
    <row r="381" spans="1:15" ht="22.5" x14ac:dyDescent="0.2">
      <c r="A381" s="519"/>
      <c r="B381" s="49"/>
      <c r="C381" s="185">
        <v>620</v>
      </c>
      <c r="D381" s="519"/>
      <c r="E381" s="581" t="s">
        <v>239</v>
      </c>
      <c r="F381" s="391"/>
      <c r="G381" s="334"/>
      <c r="H381" s="880"/>
      <c r="I381" s="881" t="s">
        <v>935</v>
      </c>
      <c r="J381" s="326"/>
      <c r="K381" s="326"/>
      <c r="L381" s="57"/>
      <c r="N381" s="163"/>
      <c r="O381" s="163"/>
    </row>
    <row r="382" spans="1:15" x14ac:dyDescent="0.2">
      <c r="A382" s="519"/>
      <c r="B382" s="49"/>
      <c r="C382" s="185"/>
      <c r="D382" s="519"/>
      <c r="E382" s="626"/>
      <c r="F382" s="882" t="s">
        <v>1003</v>
      </c>
      <c r="G382" s="883"/>
      <c r="H382" s="884" t="s">
        <v>46</v>
      </c>
      <c r="I382" s="885" t="s">
        <v>421</v>
      </c>
      <c r="J382" s="944">
        <v>200000</v>
      </c>
      <c r="K382" s="945"/>
      <c r="L382" s="946">
        <f t="shared" ref="L382:L383" si="31">SUM(J382+K382)</f>
        <v>200000</v>
      </c>
      <c r="N382" s="163"/>
      <c r="O382" s="163"/>
    </row>
    <row r="383" spans="1:15" x14ac:dyDescent="0.2">
      <c r="A383" s="519"/>
      <c r="B383" s="49"/>
      <c r="D383" s="519"/>
      <c r="E383" s="579"/>
      <c r="F383" s="311">
        <v>68</v>
      </c>
      <c r="G383" s="47"/>
      <c r="H383" s="311">
        <v>511</v>
      </c>
      <c r="I383" s="275" t="s">
        <v>20</v>
      </c>
      <c r="J383" s="939">
        <v>2180000</v>
      </c>
      <c r="K383" s="939"/>
      <c r="L383" s="939">
        <f t="shared" si="31"/>
        <v>2180000</v>
      </c>
      <c r="N383" s="943"/>
      <c r="O383" s="163"/>
    </row>
    <row r="384" spans="1:15" x14ac:dyDescent="0.2">
      <c r="A384" s="519"/>
      <c r="B384" s="49"/>
      <c r="D384" s="519"/>
      <c r="E384" s="579"/>
      <c r="F384" s="311"/>
      <c r="G384" s="47"/>
      <c r="H384" s="311"/>
      <c r="I384" s="286" t="s">
        <v>742</v>
      </c>
      <c r="J384" s="947">
        <f>SUM(J382:J383)</f>
        <v>2380000</v>
      </c>
      <c r="K384" s="947"/>
      <c r="L384" s="947">
        <f>SUM(J384:K384)</f>
        <v>2380000</v>
      </c>
      <c r="N384" s="163"/>
      <c r="O384" s="163"/>
    </row>
    <row r="385" spans="1:15" ht="15" x14ac:dyDescent="0.25">
      <c r="A385" s="519"/>
      <c r="B385" s="49"/>
      <c r="D385" s="519"/>
      <c r="E385" s="579"/>
      <c r="F385" s="311"/>
      <c r="G385" s="55" t="s">
        <v>37</v>
      </c>
      <c r="H385" s="315"/>
      <c r="I385" s="220" t="s">
        <v>38</v>
      </c>
      <c r="J385" s="939">
        <f>SUM(J384)</f>
        <v>2380000</v>
      </c>
      <c r="K385" s="939"/>
      <c r="L385" s="939">
        <f>SUM(J385+K385)</f>
        <v>2380000</v>
      </c>
      <c r="N385" s="163"/>
      <c r="O385" s="163"/>
    </row>
    <row r="386" spans="1:15" x14ac:dyDescent="0.2">
      <c r="D386" s="49"/>
      <c r="E386" s="579"/>
      <c r="F386" s="311"/>
      <c r="G386" s="47"/>
      <c r="H386" s="312"/>
      <c r="I386" s="26"/>
      <c r="J386" s="30"/>
      <c r="K386" s="30"/>
      <c r="L386" s="30"/>
      <c r="N386" s="163"/>
      <c r="O386" s="163"/>
    </row>
    <row r="387" spans="1:15" ht="22.5" x14ac:dyDescent="0.2">
      <c r="C387" s="49">
        <v>620</v>
      </c>
      <c r="D387" s="49"/>
      <c r="E387" s="581" t="s">
        <v>239</v>
      </c>
      <c r="F387" s="391"/>
      <c r="G387" s="334"/>
      <c r="H387" s="393"/>
      <c r="I387" s="336" t="s">
        <v>934</v>
      </c>
      <c r="J387" s="337"/>
      <c r="K387" s="337"/>
      <c r="L387" s="338"/>
      <c r="N387" s="163"/>
      <c r="O387" s="163"/>
    </row>
    <row r="388" spans="1:15" x14ac:dyDescent="0.2">
      <c r="D388" s="49"/>
      <c r="E388" s="579"/>
      <c r="F388" s="311">
        <v>69</v>
      </c>
      <c r="G388" s="47"/>
      <c r="H388" s="312" t="s">
        <v>270</v>
      </c>
      <c r="I388" s="275" t="s">
        <v>20</v>
      </c>
      <c r="J388" s="59">
        <v>19750000</v>
      </c>
      <c r="K388" s="199"/>
      <c r="L388" s="59">
        <f t="shared" ref="L388:L389" si="32">SUM(J388:K388)</f>
        <v>19750000</v>
      </c>
      <c r="N388" s="163"/>
      <c r="O388" s="163"/>
    </row>
    <row r="389" spans="1:15" x14ac:dyDescent="0.2">
      <c r="D389" s="49"/>
      <c r="E389" s="579"/>
      <c r="F389" s="311">
        <v>70</v>
      </c>
      <c r="G389" s="47"/>
      <c r="H389" s="312" t="s">
        <v>570</v>
      </c>
      <c r="I389" s="275" t="s">
        <v>51</v>
      </c>
      <c r="J389" s="59">
        <v>5550000</v>
      </c>
      <c r="K389" s="199"/>
      <c r="L389" s="59">
        <f t="shared" si="32"/>
        <v>5550000</v>
      </c>
      <c r="N389" s="943"/>
      <c r="O389" s="163"/>
    </row>
    <row r="390" spans="1:15" x14ac:dyDescent="0.2">
      <c r="D390" s="49"/>
      <c r="E390" s="579"/>
      <c r="F390" s="311"/>
      <c r="G390" s="47"/>
      <c r="H390" s="458"/>
      <c r="I390" s="235" t="s">
        <v>742</v>
      </c>
      <c r="J390" s="199">
        <f>SUM(J388:J389)</f>
        <v>25300000</v>
      </c>
      <c r="K390" s="199"/>
      <c r="L390" s="199">
        <f>SUM(J390:K390)</f>
        <v>25300000</v>
      </c>
      <c r="N390" s="163"/>
      <c r="O390" s="163"/>
    </row>
    <row r="391" spans="1:15" ht="15" x14ac:dyDescent="0.25">
      <c r="D391" s="49"/>
      <c r="E391" s="579"/>
      <c r="F391" s="311"/>
      <c r="G391" s="55" t="s">
        <v>37</v>
      </c>
      <c r="H391" s="315"/>
      <c r="I391" s="220" t="s">
        <v>38</v>
      </c>
      <c r="J391" s="54">
        <f>SUM(J390)</f>
        <v>25300000</v>
      </c>
      <c r="K391" s="199"/>
      <c r="L391" s="59">
        <f>SUM(J391:K391)</f>
        <v>25300000</v>
      </c>
      <c r="N391" s="163"/>
      <c r="O391" s="163"/>
    </row>
    <row r="392" spans="1:15" ht="15" x14ac:dyDescent="0.25">
      <c r="A392" s="503"/>
      <c r="B392" s="503"/>
      <c r="C392" s="511"/>
      <c r="D392" s="503"/>
      <c r="E392" s="584"/>
      <c r="F392" s="809"/>
      <c r="G392" s="310"/>
      <c r="H392" s="315"/>
      <c r="I392" s="138"/>
      <c r="J392" s="191"/>
      <c r="K392" s="191"/>
      <c r="L392" s="191"/>
      <c r="N392" s="163"/>
      <c r="O392" s="163"/>
    </row>
    <row r="393" spans="1:15" ht="22.5" x14ac:dyDescent="0.2">
      <c r="C393" s="49">
        <v>620</v>
      </c>
      <c r="D393" s="49"/>
      <c r="E393" s="581" t="s">
        <v>239</v>
      </c>
      <c r="F393" s="391"/>
      <c r="G393" s="334"/>
      <c r="H393" s="393"/>
      <c r="I393" s="336" t="s">
        <v>933</v>
      </c>
      <c r="J393" s="337"/>
      <c r="K393" s="337"/>
      <c r="L393" s="338"/>
      <c r="N393" s="163"/>
      <c r="O393" s="163"/>
    </row>
    <row r="394" spans="1:15" x14ac:dyDescent="0.2">
      <c r="D394" s="49"/>
      <c r="E394" s="579"/>
      <c r="F394" s="311">
        <v>71</v>
      </c>
      <c r="G394" s="47"/>
      <c r="H394" s="312" t="s">
        <v>80</v>
      </c>
      <c r="I394" s="275" t="s">
        <v>9</v>
      </c>
      <c r="J394" s="59">
        <v>10000000</v>
      </c>
      <c r="K394" s="199"/>
      <c r="L394" s="59">
        <f t="shared" ref="L394" si="33">SUM(J394:K394)</f>
        <v>10000000</v>
      </c>
      <c r="N394" s="163"/>
      <c r="O394" s="163"/>
    </row>
    <row r="395" spans="1:15" x14ac:dyDescent="0.2">
      <c r="D395" s="49"/>
      <c r="E395" s="579"/>
      <c r="F395" s="311"/>
      <c r="G395" s="47"/>
      <c r="H395" s="458"/>
      <c r="I395" s="235" t="s">
        <v>890</v>
      </c>
      <c r="J395" s="199">
        <f>SUM(J394:J394)</f>
        <v>10000000</v>
      </c>
      <c r="K395" s="199"/>
      <c r="L395" s="199">
        <f>SUM(J395:K395)</f>
        <v>10000000</v>
      </c>
      <c r="N395" s="163"/>
      <c r="O395" s="163"/>
    </row>
    <row r="396" spans="1:15" ht="15" x14ac:dyDescent="0.25">
      <c r="D396" s="49"/>
      <c r="E396" s="579"/>
      <c r="F396" s="311"/>
      <c r="G396" s="55" t="s">
        <v>37</v>
      </c>
      <c r="H396" s="315"/>
      <c r="I396" s="220" t="s">
        <v>38</v>
      </c>
      <c r="J396" s="54">
        <f>SUM(J395)</f>
        <v>10000000</v>
      </c>
      <c r="K396" s="199"/>
      <c r="L396" s="59">
        <f>SUM(J396:K396)</f>
        <v>10000000</v>
      </c>
      <c r="N396" s="163"/>
      <c r="O396" s="163"/>
    </row>
    <row r="397" spans="1:15" ht="15" x14ac:dyDescent="0.25">
      <c r="D397" s="49"/>
      <c r="E397" s="579"/>
      <c r="F397" s="311"/>
      <c r="G397" s="55"/>
      <c r="H397" s="315"/>
      <c r="I397" s="236"/>
      <c r="J397" s="362"/>
      <c r="K397" s="364"/>
      <c r="L397" s="218"/>
      <c r="N397" s="163"/>
      <c r="O397" s="163"/>
    </row>
    <row r="398" spans="1:15" ht="22.5" x14ac:dyDescent="0.2">
      <c r="B398" s="49"/>
      <c r="C398" s="49">
        <v>620</v>
      </c>
      <c r="D398" s="519"/>
      <c r="E398" s="581" t="s">
        <v>239</v>
      </c>
      <c r="F398" s="391"/>
      <c r="G398" s="334"/>
      <c r="H398" s="391"/>
      <c r="I398" s="339" t="s">
        <v>903</v>
      </c>
      <c r="J398" s="259"/>
      <c r="K398" s="80"/>
      <c r="L398" s="260"/>
      <c r="N398" s="163"/>
      <c r="O398" s="163"/>
    </row>
    <row r="399" spans="1:15" x14ac:dyDescent="0.2">
      <c r="B399" s="49"/>
      <c r="D399" s="519"/>
      <c r="E399" s="582"/>
      <c r="F399" s="882" t="s">
        <v>1004</v>
      </c>
      <c r="G399" s="883"/>
      <c r="H399" s="884" t="s">
        <v>46</v>
      </c>
      <c r="I399" s="888" t="s">
        <v>421</v>
      </c>
      <c r="J399" s="946">
        <v>200000</v>
      </c>
      <c r="K399" s="945"/>
      <c r="L399" s="946">
        <f>SUM(J399:K399)</f>
        <v>200000</v>
      </c>
      <c r="N399" s="163"/>
      <c r="O399" s="163"/>
    </row>
    <row r="400" spans="1:15" x14ac:dyDescent="0.2">
      <c r="B400" s="49"/>
      <c r="D400" s="519"/>
      <c r="E400" s="579"/>
      <c r="F400" s="311">
        <v>72</v>
      </c>
      <c r="G400" s="47"/>
      <c r="H400" s="312" t="s">
        <v>270</v>
      </c>
      <c r="I400" s="220" t="s">
        <v>20</v>
      </c>
      <c r="J400" s="948">
        <v>7600000</v>
      </c>
      <c r="K400" s="939"/>
      <c r="L400" s="939">
        <f>SUM(J400:K400)</f>
        <v>7600000</v>
      </c>
      <c r="N400" s="943"/>
      <c r="O400" s="163"/>
    </row>
    <row r="401" spans="1:15" x14ac:dyDescent="0.2">
      <c r="B401" s="49"/>
      <c r="D401" s="519"/>
      <c r="E401" s="579"/>
      <c r="F401" s="311"/>
      <c r="G401" s="55" t="s">
        <v>37</v>
      </c>
      <c r="H401" s="313"/>
      <c r="I401" s="220" t="s">
        <v>38</v>
      </c>
      <c r="J401" s="948">
        <f>SUM(J399:J400)</f>
        <v>7800000</v>
      </c>
      <c r="K401" s="947"/>
      <c r="L401" s="939">
        <f>SUM(J401:K401)</f>
        <v>7800000</v>
      </c>
      <c r="N401" s="163"/>
      <c r="O401" s="163"/>
    </row>
    <row r="402" spans="1:15" x14ac:dyDescent="0.2">
      <c r="B402" s="49"/>
      <c r="D402" s="519"/>
      <c r="E402" s="579"/>
      <c r="F402" s="311"/>
      <c r="G402" s="47"/>
      <c r="H402" s="312"/>
      <c r="I402" s="229" t="s">
        <v>710</v>
      </c>
      <c r="J402" s="949">
        <f>SUM(J401)</f>
        <v>7800000</v>
      </c>
      <c r="K402" s="947"/>
      <c r="L402" s="947">
        <f>SUM(J401:K401)</f>
        <v>7800000</v>
      </c>
      <c r="N402" s="163"/>
      <c r="O402" s="163"/>
    </row>
    <row r="403" spans="1:15" ht="15" x14ac:dyDescent="0.25">
      <c r="D403" s="49"/>
      <c r="E403" s="579"/>
      <c r="F403" s="311"/>
      <c r="G403" s="55"/>
      <c r="H403" s="315"/>
      <c r="I403" s="236"/>
      <c r="J403" s="362"/>
      <c r="K403" s="364"/>
      <c r="L403" s="218"/>
      <c r="N403" s="163"/>
      <c r="O403" s="163"/>
    </row>
    <row r="404" spans="1:15" ht="15" x14ac:dyDescent="0.2">
      <c r="A404" s="519"/>
      <c r="B404" s="49"/>
      <c r="C404" s="698">
        <v>940</v>
      </c>
      <c r="D404" s="49"/>
      <c r="E404" s="579"/>
      <c r="F404" s="311"/>
      <c r="G404" s="47"/>
      <c r="H404" s="311"/>
      <c r="I404" s="287" t="s">
        <v>78</v>
      </c>
      <c r="J404" s="362"/>
      <c r="K404" s="362"/>
      <c r="L404" s="363"/>
    </row>
    <row r="405" spans="1:15" ht="15" x14ac:dyDescent="0.2">
      <c r="A405" s="519"/>
      <c r="B405" s="49"/>
      <c r="C405" s="698"/>
      <c r="D405" s="49"/>
      <c r="E405" s="579"/>
      <c r="F405" s="311"/>
      <c r="G405" s="47"/>
      <c r="H405" s="311"/>
      <c r="I405" s="233"/>
      <c r="J405" s="250"/>
      <c r="K405" s="250"/>
      <c r="L405" s="251"/>
    </row>
    <row r="406" spans="1:15" ht="15" x14ac:dyDescent="0.2">
      <c r="A406" s="519"/>
      <c r="B406" s="49"/>
      <c r="C406" s="438"/>
      <c r="D406" s="49"/>
      <c r="E406" s="581" t="s">
        <v>239</v>
      </c>
      <c r="F406" s="391"/>
      <c r="G406" s="334"/>
      <c r="H406" s="391"/>
      <c r="I406" s="392" t="s">
        <v>932</v>
      </c>
      <c r="J406" s="326"/>
      <c r="K406" s="326"/>
      <c r="L406" s="57"/>
    </row>
    <row r="407" spans="1:15" ht="15" x14ac:dyDescent="0.2">
      <c r="A407" s="519"/>
      <c r="B407" s="49"/>
      <c r="C407" s="438"/>
      <c r="D407" s="49"/>
      <c r="E407" s="579"/>
      <c r="F407" s="311">
        <v>73</v>
      </c>
      <c r="G407" s="47"/>
      <c r="H407" s="311">
        <v>472</v>
      </c>
      <c r="I407" s="220" t="s">
        <v>219</v>
      </c>
      <c r="J407" s="221">
        <v>19500000</v>
      </c>
      <c r="K407" s="59"/>
      <c r="L407" s="59">
        <f>SUM(J407+K407)</f>
        <v>19500000</v>
      </c>
    </row>
    <row r="408" spans="1:15" ht="15" x14ac:dyDescent="0.2">
      <c r="A408" s="519"/>
      <c r="B408" s="49"/>
      <c r="C408" s="438"/>
      <c r="D408" s="49"/>
      <c r="E408" s="579"/>
      <c r="F408" s="311">
        <v>74</v>
      </c>
      <c r="G408" s="47"/>
      <c r="H408" s="311">
        <v>472</v>
      </c>
      <c r="I408" s="220" t="s">
        <v>320</v>
      </c>
      <c r="J408" s="59">
        <v>1000000</v>
      </c>
      <c r="K408" s="59"/>
      <c r="L408" s="59">
        <f>SUM(J408+K408)</f>
        <v>1000000</v>
      </c>
    </row>
    <row r="409" spans="1:15" ht="15" x14ac:dyDescent="0.2">
      <c r="A409" s="519"/>
      <c r="B409" s="49"/>
      <c r="C409" s="438"/>
      <c r="E409" s="579"/>
      <c r="F409" s="311"/>
      <c r="G409" s="47"/>
      <c r="H409" s="311"/>
      <c r="I409" s="229" t="s">
        <v>710</v>
      </c>
      <c r="J409" s="60">
        <f>SUM(J407:J408)</f>
        <v>20500000</v>
      </c>
      <c r="K409" s="60"/>
      <c r="L409" s="60">
        <f>SUM(L407:L408)</f>
        <v>20500000</v>
      </c>
    </row>
    <row r="410" spans="1:15" ht="15" x14ac:dyDescent="0.2">
      <c r="A410" s="519"/>
      <c r="B410" s="49"/>
      <c r="C410" s="438"/>
      <c r="D410" s="519"/>
      <c r="E410" s="579"/>
      <c r="F410" s="311"/>
      <c r="G410" s="55" t="s">
        <v>37</v>
      </c>
      <c r="H410" s="313"/>
      <c r="I410" s="220" t="s">
        <v>38</v>
      </c>
      <c r="J410" s="59">
        <f>SUM(J409)-J411</f>
        <v>19500000</v>
      </c>
      <c r="K410" s="59"/>
      <c r="L410" s="59">
        <f>SUM(J410:K410)</f>
        <v>19500000</v>
      </c>
    </row>
    <row r="411" spans="1:15" ht="15" x14ac:dyDescent="0.2">
      <c r="A411" s="519"/>
      <c r="B411" s="49"/>
      <c r="C411" s="438"/>
      <c r="D411" s="519"/>
      <c r="E411" s="579"/>
      <c r="F411" s="311"/>
      <c r="G411" s="55" t="s">
        <v>113</v>
      </c>
      <c r="H411" s="313"/>
      <c r="I411" s="220" t="s">
        <v>280</v>
      </c>
      <c r="J411" s="59">
        <v>1000000</v>
      </c>
      <c r="K411" s="59"/>
      <c r="L411" s="59">
        <f>SUM(J411+K411)</f>
        <v>1000000</v>
      </c>
    </row>
    <row r="412" spans="1:15" ht="15" x14ac:dyDescent="0.2">
      <c r="A412" s="519"/>
      <c r="B412" s="49"/>
      <c r="C412" s="438"/>
      <c r="D412" s="519"/>
      <c r="E412" s="579"/>
      <c r="F412" s="311"/>
      <c r="G412" s="47"/>
      <c r="H412" s="312"/>
      <c r="I412" s="26"/>
      <c r="J412" s="250"/>
      <c r="K412" s="250"/>
      <c r="L412" s="251"/>
    </row>
    <row r="413" spans="1:15" x14ac:dyDescent="0.2">
      <c r="A413" s="519"/>
      <c r="B413" s="49"/>
      <c r="C413" s="699">
        <v>950</v>
      </c>
      <c r="D413" s="49"/>
      <c r="E413" s="579"/>
      <c r="F413" s="311"/>
      <c r="G413" s="47"/>
      <c r="H413" s="312"/>
      <c r="I413" s="238" t="s">
        <v>79</v>
      </c>
      <c r="J413" s="362"/>
      <c r="K413" s="362"/>
      <c r="L413" s="363"/>
    </row>
    <row r="414" spans="1:15" ht="15" x14ac:dyDescent="0.2">
      <c r="A414" s="519"/>
      <c r="B414" s="49"/>
      <c r="C414" s="438"/>
      <c r="D414" s="49"/>
      <c r="E414" s="579"/>
      <c r="F414" s="311"/>
      <c r="G414" s="47"/>
      <c r="H414" s="312"/>
      <c r="I414" s="26"/>
      <c r="J414" s="250"/>
      <c r="K414" s="250"/>
      <c r="L414" s="251"/>
    </row>
    <row r="415" spans="1:15" ht="15" x14ac:dyDescent="0.2">
      <c r="A415" s="519"/>
      <c r="B415" s="49"/>
      <c r="C415" s="438"/>
      <c r="D415" s="49"/>
      <c r="E415" s="581" t="s">
        <v>239</v>
      </c>
      <c r="F415" s="391"/>
      <c r="G415" s="334"/>
      <c r="H415" s="393"/>
      <c r="I415" s="394" t="s">
        <v>929</v>
      </c>
      <c r="J415" s="80"/>
      <c r="K415" s="80"/>
      <c r="L415" s="260"/>
    </row>
    <row r="416" spans="1:15" ht="15" x14ac:dyDescent="0.2">
      <c r="A416" s="519"/>
      <c r="B416" s="49"/>
      <c r="C416" s="438"/>
      <c r="D416" s="49"/>
      <c r="E416" s="579"/>
      <c r="F416" s="311">
        <v>75</v>
      </c>
      <c r="G416" s="47"/>
      <c r="H416" s="312" t="s">
        <v>80</v>
      </c>
      <c r="I416" s="220" t="s">
        <v>81</v>
      </c>
      <c r="J416" s="221">
        <v>6000000</v>
      </c>
      <c r="K416" s="59"/>
      <c r="L416" s="59">
        <f>SUM(J416+K416)</f>
        <v>6000000</v>
      </c>
    </row>
    <row r="417" spans="1:12" ht="15" x14ac:dyDescent="0.2">
      <c r="A417" s="519"/>
      <c r="B417" s="49"/>
      <c r="C417" s="438"/>
      <c r="D417" s="49"/>
      <c r="E417" s="579"/>
      <c r="F417" s="311"/>
      <c r="G417" s="47"/>
      <c r="H417" s="312"/>
      <c r="I417" s="65" t="s">
        <v>930</v>
      </c>
      <c r="J417" s="60">
        <f>SUM(J416)</f>
        <v>6000000</v>
      </c>
      <c r="K417" s="59"/>
      <c r="L417" s="60">
        <f>SUM(L416)</f>
        <v>6000000</v>
      </c>
    </row>
    <row r="418" spans="1:12" ht="15" x14ac:dyDescent="0.2">
      <c r="A418" s="519"/>
      <c r="B418" s="49"/>
      <c r="C418" s="438"/>
      <c r="D418" s="49"/>
      <c r="E418" s="579"/>
      <c r="F418" s="311"/>
      <c r="G418" s="55" t="s">
        <v>37</v>
      </c>
      <c r="H418" s="313"/>
      <c r="I418" s="220" t="s">
        <v>38</v>
      </c>
      <c r="J418" s="221">
        <f>SUM(J416)</f>
        <v>6000000</v>
      </c>
      <c r="K418" s="59"/>
      <c r="L418" s="59">
        <f>SUM(J418+K418)</f>
        <v>6000000</v>
      </c>
    </row>
    <row r="419" spans="1:12" ht="15" x14ac:dyDescent="0.2">
      <c r="A419" s="519"/>
      <c r="B419" s="49"/>
      <c r="C419" s="438"/>
      <c r="D419" s="49"/>
      <c r="E419" s="579"/>
      <c r="F419" s="311"/>
      <c r="G419" s="47"/>
      <c r="H419" s="312"/>
      <c r="I419" s="217"/>
      <c r="J419" s="31"/>
      <c r="K419" s="31"/>
      <c r="L419" s="77"/>
    </row>
    <row r="420" spans="1:12" x14ac:dyDescent="0.2">
      <c r="A420" s="519"/>
      <c r="B420" s="49"/>
      <c r="C420" s="699">
        <v>950</v>
      </c>
      <c r="D420" s="49"/>
      <c r="E420" s="579"/>
      <c r="F420" s="311"/>
      <c r="G420" s="47"/>
      <c r="H420" s="312"/>
      <c r="I420" s="238" t="s">
        <v>79</v>
      </c>
      <c r="J420" s="362"/>
      <c r="K420" s="362"/>
      <c r="L420" s="363"/>
    </row>
    <row r="421" spans="1:12" ht="15" x14ac:dyDescent="0.2">
      <c r="A421" s="519"/>
      <c r="B421" s="49"/>
      <c r="C421" s="438"/>
      <c r="D421" s="49"/>
      <c r="E421" s="579"/>
      <c r="F421" s="311"/>
      <c r="G421" s="47"/>
      <c r="H421" s="312"/>
      <c r="I421" s="26"/>
      <c r="J421" s="31"/>
      <c r="K421" s="31"/>
      <c r="L421" s="77"/>
    </row>
    <row r="422" spans="1:12" ht="15" x14ac:dyDescent="0.2">
      <c r="A422" s="519"/>
      <c r="B422" s="49"/>
      <c r="C422" s="438"/>
      <c r="D422" s="49"/>
      <c r="E422" s="581" t="s">
        <v>239</v>
      </c>
      <c r="F422" s="391"/>
      <c r="G422" s="334"/>
      <c r="H422" s="393"/>
      <c r="I422" s="394" t="s">
        <v>928</v>
      </c>
      <c r="J422" s="80"/>
      <c r="K422" s="80"/>
      <c r="L422" s="260"/>
    </row>
    <row r="423" spans="1:12" ht="15" x14ac:dyDescent="0.2">
      <c r="A423" s="519"/>
      <c r="B423" s="49"/>
      <c r="C423" s="438"/>
      <c r="D423" s="49"/>
      <c r="E423" s="579"/>
      <c r="F423" s="311">
        <v>76</v>
      </c>
      <c r="G423" s="47"/>
      <c r="H423" s="312" t="s">
        <v>80</v>
      </c>
      <c r="I423" s="220" t="s">
        <v>467</v>
      </c>
      <c r="J423" s="221">
        <v>1500000</v>
      </c>
      <c r="K423" s="59"/>
      <c r="L423" s="59">
        <f>SUM(J423+K423)</f>
        <v>1500000</v>
      </c>
    </row>
    <row r="424" spans="1:12" ht="15" x14ac:dyDescent="0.2">
      <c r="A424" s="519"/>
      <c r="B424" s="49"/>
      <c r="C424" s="438"/>
      <c r="D424" s="49"/>
      <c r="E424" s="579"/>
      <c r="F424" s="311"/>
      <c r="G424" s="47"/>
      <c r="H424" s="312"/>
      <c r="I424" s="235" t="s">
        <v>710</v>
      </c>
      <c r="J424" s="60">
        <f>SUM(J423)</f>
        <v>1500000</v>
      </c>
      <c r="K424" s="60"/>
      <c r="L424" s="60">
        <f>SUM(L423)</f>
        <v>1500000</v>
      </c>
    </row>
    <row r="425" spans="1:12" ht="15" x14ac:dyDescent="0.25">
      <c r="A425" s="519"/>
      <c r="B425" s="49"/>
      <c r="C425" s="438"/>
      <c r="D425" s="49"/>
      <c r="E425" s="579"/>
      <c r="F425" s="311"/>
      <c r="G425" s="55" t="s">
        <v>37</v>
      </c>
      <c r="H425" s="315"/>
      <c r="I425" s="220" t="s">
        <v>38</v>
      </c>
      <c r="J425" s="221">
        <f>SUM(J423)</f>
        <v>1500000</v>
      </c>
      <c r="K425" s="59"/>
      <c r="L425" s="59">
        <f>SUM(J425+K425)</f>
        <v>1500000</v>
      </c>
    </row>
    <row r="426" spans="1:12" ht="15" x14ac:dyDescent="0.2">
      <c r="A426" s="519"/>
      <c r="B426" s="49"/>
      <c r="C426" s="438"/>
      <c r="D426" s="49"/>
      <c r="E426" s="579"/>
      <c r="F426" s="311"/>
      <c r="G426" s="47"/>
      <c r="H426" s="312"/>
      <c r="I426" s="249"/>
      <c r="J426" s="30"/>
      <c r="K426" s="30"/>
      <c r="L426" s="30"/>
    </row>
    <row r="427" spans="1:12" ht="15" x14ac:dyDescent="0.2">
      <c r="A427" s="519"/>
      <c r="B427" s="49"/>
      <c r="C427" s="438">
        <v>950</v>
      </c>
      <c r="D427" s="49"/>
      <c r="E427" s="581" t="s">
        <v>239</v>
      </c>
      <c r="F427" s="391"/>
      <c r="G427" s="334"/>
      <c r="H427" s="393"/>
      <c r="I427" s="394" t="s">
        <v>931</v>
      </c>
      <c r="J427" s="80"/>
      <c r="K427" s="80"/>
      <c r="L427" s="260"/>
    </row>
    <row r="428" spans="1:12" ht="15" x14ac:dyDescent="0.2">
      <c r="A428" s="519"/>
      <c r="B428" s="49"/>
      <c r="C428" s="438"/>
      <c r="D428" s="49"/>
      <c r="E428" s="579"/>
      <c r="F428" s="311">
        <v>77</v>
      </c>
      <c r="G428" s="47"/>
      <c r="H428" s="312" t="s">
        <v>415</v>
      </c>
      <c r="I428" s="220" t="s">
        <v>671</v>
      </c>
      <c r="J428" s="221">
        <v>2400000</v>
      </c>
      <c r="K428" s="59"/>
      <c r="L428" s="59">
        <f>SUM(J428+K428)</f>
        <v>2400000</v>
      </c>
    </row>
    <row r="429" spans="1:12" ht="15" x14ac:dyDescent="0.2">
      <c r="A429" s="519"/>
      <c r="B429" s="49"/>
      <c r="C429" s="438"/>
      <c r="D429" s="49"/>
      <c r="E429" s="579"/>
      <c r="F429" s="311"/>
      <c r="G429" s="47"/>
      <c r="H429" s="312"/>
      <c r="I429" s="235" t="s">
        <v>704</v>
      </c>
      <c r="J429" s="60">
        <f>SUM(J428)</f>
        <v>2400000</v>
      </c>
      <c r="K429" s="60"/>
      <c r="L429" s="60">
        <f>SUM(L428)</f>
        <v>2400000</v>
      </c>
    </row>
    <row r="430" spans="1:12" ht="15" x14ac:dyDescent="0.25">
      <c r="A430" s="519"/>
      <c r="B430" s="49"/>
      <c r="C430" s="438"/>
      <c r="D430" s="49"/>
      <c r="E430" s="579"/>
      <c r="F430" s="311"/>
      <c r="G430" s="55" t="s">
        <v>37</v>
      </c>
      <c r="H430" s="315"/>
      <c r="I430" s="220" t="s">
        <v>38</v>
      </c>
      <c r="J430" s="221">
        <f>SUM(J428)</f>
        <v>2400000</v>
      </c>
      <c r="K430" s="59"/>
      <c r="L430" s="59">
        <f>SUM(J430+K430)</f>
        <v>2400000</v>
      </c>
    </row>
    <row r="431" spans="1:12" ht="15" x14ac:dyDescent="0.2">
      <c r="A431" s="519"/>
      <c r="B431" s="49"/>
      <c r="C431" s="438"/>
      <c r="D431" s="49"/>
      <c r="E431" s="579"/>
      <c r="F431" s="311"/>
      <c r="G431" s="47"/>
      <c r="H431" s="312"/>
      <c r="I431" s="223"/>
      <c r="J431" s="31"/>
      <c r="K431" s="31"/>
      <c r="L431" s="77"/>
    </row>
    <row r="432" spans="1:12" x14ac:dyDescent="0.2">
      <c r="A432" s="519"/>
      <c r="B432" s="49"/>
      <c r="C432" s="699">
        <v>950</v>
      </c>
      <c r="D432" s="49"/>
      <c r="E432" s="579"/>
      <c r="F432" s="311"/>
      <c r="G432" s="47"/>
      <c r="H432" s="312"/>
      <c r="I432" s="238" t="s">
        <v>79</v>
      </c>
      <c r="J432" s="76"/>
      <c r="K432" s="76"/>
      <c r="L432" s="218"/>
    </row>
    <row r="433" spans="1:14" ht="15" x14ac:dyDescent="0.2">
      <c r="A433" s="519"/>
      <c r="B433" s="49"/>
      <c r="C433" s="438"/>
      <c r="D433" s="49"/>
      <c r="E433" s="579"/>
      <c r="F433" s="311"/>
      <c r="G433" s="47"/>
      <c r="H433" s="312"/>
      <c r="I433" s="26"/>
      <c r="J433" s="31"/>
      <c r="K433" s="31"/>
      <c r="L433" s="77"/>
    </row>
    <row r="434" spans="1:14" ht="15" x14ac:dyDescent="0.2">
      <c r="A434" s="519"/>
      <c r="B434" s="49"/>
      <c r="C434" s="438"/>
      <c r="D434" s="49"/>
      <c r="E434" s="581" t="s">
        <v>239</v>
      </c>
      <c r="F434" s="391"/>
      <c r="G434" s="334"/>
      <c r="H434" s="393"/>
      <c r="I434" s="392" t="s">
        <v>926</v>
      </c>
      <c r="J434" s="326"/>
      <c r="K434" s="326"/>
      <c r="L434" s="57"/>
    </row>
    <row r="435" spans="1:14" ht="15" x14ac:dyDescent="0.2">
      <c r="A435" s="519"/>
      <c r="B435" s="49"/>
      <c r="C435" s="438"/>
      <c r="D435" s="49"/>
      <c r="E435" s="579"/>
      <c r="F435" s="311">
        <v>78</v>
      </c>
      <c r="G435" s="47"/>
      <c r="H435" s="312" t="s">
        <v>80</v>
      </c>
      <c r="I435" s="220" t="s">
        <v>927</v>
      </c>
      <c r="J435" s="221">
        <v>6000000</v>
      </c>
      <c r="K435" s="59"/>
      <c r="L435" s="59">
        <f>SUM(J435+K435)</f>
        <v>6000000</v>
      </c>
      <c r="N435" s="942"/>
    </row>
    <row r="436" spans="1:14" ht="15" x14ac:dyDescent="0.2">
      <c r="A436" s="519"/>
      <c r="B436" s="49"/>
      <c r="C436" s="438"/>
      <c r="D436" s="49"/>
      <c r="E436" s="579"/>
      <c r="F436" s="311"/>
      <c r="G436" s="47"/>
      <c r="H436" s="312"/>
      <c r="I436" s="235" t="s">
        <v>710</v>
      </c>
      <c r="J436" s="60">
        <f>SUM(J435)</f>
        <v>6000000</v>
      </c>
      <c r="K436" s="60"/>
      <c r="L436" s="60">
        <f>SUM(L435)</f>
        <v>6000000</v>
      </c>
    </row>
    <row r="437" spans="1:14" ht="15" x14ac:dyDescent="0.25">
      <c r="A437" s="519"/>
      <c r="B437" s="49"/>
      <c r="C437" s="438"/>
      <c r="D437" s="49"/>
      <c r="E437" s="579"/>
      <c r="F437" s="311"/>
      <c r="G437" s="55" t="s">
        <v>37</v>
      </c>
      <c r="H437" s="315"/>
      <c r="I437" s="220" t="s">
        <v>38</v>
      </c>
      <c r="J437" s="221">
        <f>SUM(J435)</f>
        <v>6000000</v>
      </c>
      <c r="K437" s="59"/>
      <c r="L437" s="59">
        <f>SUM(J437+K437)</f>
        <v>6000000</v>
      </c>
    </row>
    <row r="438" spans="1:14" ht="15" x14ac:dyDescent="0.2">
      <c r="A438" s="519"/>
      <c r="B438" s="49"/>
      <c r="C438" s="438"/>
      <c r="D438" s="49"/>
      <c r="E438" s="579"/>
      <c r="F438" s="311"/>
      <c r="G438" s="47"/>
      <c r="H438" s="312"/>
      <c r="I438" s="700"/>
      <c r="J438" s="250"/>
      <c r="K438" s="250"/>
      <c r="L438" s="251"/>
    </row>
    <row r="439" spans="1:14" x14ac:dyDescent="0.2">
      <c r="A439" s="519"/>
      <c r="B439" s="49"/>
      <c r="C439" s="699">
        <v>950</v>
      </c>
      <c r="D439" s="49"/>
      <c r="E439" s="579"/>
      <c r="F439" s="311"/>
      <c r="G439" s="47"/>
      <c r="H439" s="312"/>
      <c r="I439" s="238" t="s">
        <v>79</v>
      </c>
      <c r="J439" s="362"/>
      <c r="K439" s="362"/>
      <c r="L439" s="363"/>
    </row>
    <row r="440" spans="1:14" ht="15" x14ac:dyDescent="0.2">
      <c r="A440" s="519"/>
      <c r="B440" s="49"/>
      <c r="C440" s="438"/>
      <c r="D440" s="49"/>
      <c r="E440" s="579"/>
      <c r="F440" s="311"/>
      <c r="G440" s="47"/>
      <c r="H440" s="312"/>
      <c r="I440" s="26"/>
      <c r="J440" s="250"/>
      <c r="K440" s="250"/>
      <c r="L440" s="251"/>
    </row>
    <row r="441" spans="1:14" ht="22.5" x14ac:dyDescent="0.2">
      <c r="A441" s="519"/>
      <c r="B441" s="49"/>
      <c r="C441" s="438"/>
      <c r="D441" s="49"/>
      <c r="E441" s="581" t="s">
        <v>239</v>
      </c>
      <c r="F441" s="391"/>
      <c r="G441" s="334"/>
      <c r="H441" s="393"/>
      <c r="I441" s="395" t="s">
        <v>925</v>
      </c>
      <c r="J441" s="80"/>
      <c r="K441" s="80"/>
      <c r="L441" s="260"/>
    </row>
    <row r="442" spans="1:14" ht="15" x14ac:dyDescent="0.2">
      <c r="A442" s="519"/>
      <c r="B442" s="49"/>
      <c r="C442" s="438"/>
      <c r="D442" s="49"/>
      <c r="E442" s="579"/>
      <c r="F442" s="311">
        <v>79</v>
      </c>
      <c r="G442" s="47"/>
      <c r="H442" s="312" t="s">
        <v>270</v>
      </c>
      <c r="I442" s="220" t="s">
        <v>584</v>
      </c>
      <c r="J442" s="221">
        <v>14800000</v>
      </c>
      <c r="K442" s="59"/>
      <c r="L442" s="59">
        <f>SUM(J442+K442)</f>
        <v>14800000</v>
      </c>
      <c r="N442" s="942"/>
    </row>
    <row r="443" spans="1:14" ht="15" x14ac:dyDescent="0.2">
      <c r="A443" s="519"/>
      <c r="B443" s="49"/>
      <c r="C443" s="438"/>
      <c r="D443" s="49"/>
      <c r="E443" s="579"/>
      <c r="F443" s="311"/>
      <c r="G443" s="47"/>
      <c r="H443" s="312"/>
      <c r="I443" s="222" t="s">
        <v>710</v>
      </c>
      <c r="J443" s="60">
        <f>SUM(J442)</f>
        <v>14800000</v>
      </c>
      <c r="K443" s="60"/>
      <c r="L443" s="60">
        <f>SUM(L442)</f>
        <v>14800000</v>
      </c>
    </row>
    <row r="444" spans="1:14" ht="15" x14ac:dyDescent="0.25">
      <c r="A444" s="519"/>
      <c r="B444" s="49"/>
      <c r="C444" s="438"/>
      <c r="D444" s="49"/>
      <c r="E444" s="579"/>
      <c r="F444" s="311"/>
      <c r="G444" s="55" t="s">
        <v>37</v>
      </c>
      <c r="H444" s="315"/>
      <c r="I444" s="220" t="s">
        <v>38</v>
      </c>
      <c r="J444" s="221">
        <f>SUM(J443-J445)</f>
        <v>4800000</v>
      </c>
      <c r="K444" s="59"/>
      <c r="L444" s="59">
        <f>SUM(J444+K444)</f>
        <v>4800000</v>
      </c>
    </row>
    <row r="445" spans="1:14" ht="15" x14ac:dyDescent="0.25">
      <c r="A445" s="519"/>
      <c r="B445" s="49"/>
      <c r="C445" s="438"/>
      <c r="D445" s="49"/>
      <c r="E445" s="579"/>
      <c r="F445" s="311"/>
      <c r="G445" s="55" t="s">
        <v>589</v>
      </c>
      <c r="H445" s="315"/>
      <c r="I445" s="220" t="s">
        <v>590</v>
      </c>
      <c r="J445" s="221">
        <v>10000000</v>
      </c>
      <c r="K445" s="59"/>
      <c r="L445" s="59">
        <f>SUM(J445+K445)</f>
        <v>10000000</v>
      </c>
    </row>
    <row r="446" spans="1:14" x14ac:dyDescent="0.2">
      <c r="B446" s="49"/>
      <c r="D446" s="519"/>
      <c r="E446" s="579"/>
      <c r="F446" s="319"/>
      <c r="G446" s="79"/>
      <c r="H446" s="316"/>
      <c r="I446" s="700"/>
      <c r="J446" s="264"/>
      <c r="K446" s="192"/>
      <c r="L446" s="327"/>
    </row>
    <row r="447" spans="1:14" x14ac:dyDescent="0.2">
      <c r="A447" s="689"/>
      <c r="B447" s="690"/>
      <c r="C447" s="690"/>
      <c r="D447" s="616" t="s">
        <v>249</v>
      </c>
      <c r="E447" s="617"/>
      <c r="F447" s="701"/>
      <c r="G447" s="691"/>
      <c r="H447" s="692"/>
      <c r="I447" s="693" t="s">
        <v>456</v>
      </c>
      <c r="J447" s="694">
        <f>SUM(J455+J469+J464)</f>
        <v>52749000</v>
      </c>
      <c r="K447" s="694">
        <f t="shared" ref="K447" si="34">SUM(K455+K469+K464)</f>
        <v>0</v>
      </c>
      <c r="L447" s="694">
        <f>SUM(L455+L469+L464)</f>
        <v>52749000</v>
      </c>
    </row>
    <row r="448" spans="1:14" x14ac:dyDescent="0.2">
      <c r="A448" s="645"/>
      <c r="B448" s="646"/>
      <c r="C448" s="646"/>
      <c r="D448" s="625"/>
      <c r="E448" s="626"/>
      <c r="F448" s="442"/>
      <c r="G448" s="321"/>
      <c r="H448" s="647"/>
      <c r="I448" s="266"/>
      <c r="J448" s="30"/>
      <c r="K448" s="31"/>
      <c r="L448" s="61"/>
    </row>
    <row r="449" spans="1:14" x14ac:dyDescent="0.2">
      <c r="A449" s="519"/>
      <c r="B449" s="49"/>
      <c r="D449" s="519"/>
      <c r="E449" s="580"/>
      <c r="F449" s="439"/>
      <c r="G449" s="329"/>
      <c r="H449" s="457"/>
      <c r="I449" s="396" t="s">
        <v>272</v>
      </c>
      <c r="J449" s="397"/>
      <c r="K449" s="397"/>
      <c r="L449" s="331"/>
    </row>
    <row r="450" spans="1:14" x14ac:dyDescent="0.2">
      <c r="A450" s="519"/>
      <c r="B450" s="49"/>
      <c r="D450" s="49"/>
      <c r="E450" s="580" t="s">
        <v>250</v>
      </c>
      <c r="F450" s="439"/>
      <c r="G450" s="329"/>
      <c r="H450" s="460"/>
      <c r="I450" s="398" t="s">
        <v>453</v>
      </c>
      <c r="J450" s="399"/>
      <c r="K450" s="399"/>
      <c r="L450" s="400"/>
    </row>
    <row r="451" spans="1:14" x14ac:dyDescent="0.2">
      <c r="A451" s="519"/>
      <c r="B451" s="49"/>
      <c r="C451" s="436"/>
      <c r="D451" s="436"/>
      <c r="E451" s="582"/>
      <c r="F451" s="441"/>
      <c r="G451" s="230"/>
      <c r="H451" s="340"/>
      <c r="I451" s="18"/>
      <c r="J451" s="31"/>
      <c r="K451" s="31"/>
      <c r="L451" s="61"/>
    </row>
    <row r="452" spans="1:14" x14ac:dyDescent="0.2">
      <c r="A452" s="519"/>
      <c r="B452" s="49"/>
      <c r="C452" s="49">
        <v>620</v>
      </c>
      <c r="D452" s="520"/>
      <c r="E452" s="579"/>
      <c r="F452" s="311"/>
      <c r="G452" s="47"/>
      <c r="H452" s="313"/>
      <c r="I452" s="287" t="s">
        <v>105</v>
      </c>
      <c r="J452" s="76"/>
      <c r="K452" s="76"/>
      <c r="L452" s="57"/>
    </row>
    <row r="453" spans="1:14" x14ac:dyDescent="0.2">
      <c r="E453" s="579"/>
      <c r="F453" s="311"/>
      <c r="G453" s="47"/>
      <c r="H453" s="313"/>
      <c r="I453" s="28"/>
      <c r="J453" s="366"/>
      <c r="K453" s="366"/>
      <c r="L453" s="367"/>
    </row>
    <row r="454" spans="1:14" x14ac:dyDescent="0.2">
      <c r="A454" s="519"/>
      <c r="B454" s="49"/>
      <c r="D454" s="519"/>
      <c r="E454" s="579"/>
      <c r="F454" s="311">
        <v>80</v>
      </c>
      <c r="G454" s="47"/>
      <c r="H454" s="311">
        <v>424</v>
      </c>
      <c r="I454" s="220" t="s">
        <v>106</v>
      </c>
      <c r="J454" s="59">
        <f>15600000+3348000</f>
        <v>18948000</v>
      </c>
      <c r="K454" s="59"/>
      <c r="L454" s="59">
        <f>SUM(J454+K454)</f>
        <v>18948000</v>
      </c>
    </row>
    <row r="455" spans="1:14" x14ac:dyDescent="0.2">
      <c r="A455" s="519"/>
      <c r="B455" s="49"/>
      <c r="D455" s="519"/>
      <c r="E455" s="579"/>
      <c r="F455" s="311"/>
      <c r="G455" s="55"/>
      <c r="H455" s="313"/>
      <c r="I455" s="229" t="s">
        <v>623</v>
      </c>
      <c r="J455" s="60">
        <f>SUM(J454)</f>
        <v>18948000</v>
      </c>
      <c r="K455" s="60"/>
      <c r="L455" s="60">
        <f>SUM(J455+K455)</f>
        <v>18948000</v>
      </c>
    </row>
    <row r="456" spans="1:14" x14ac:dyDescent="0.2">
      <c r="A456" s="519"/>
      <c r="B456" s="49"/>
      <c r="D456" s="519"/>
      <c r="E456" s="579"/>
      <c r="F456" s="311"/>
      <c r="G456" s="55" t="s">
        <v>37</v>
      </c>
      <c r="H456" s="313"/>
      <c r="I456" s="220" t="s">
        <v>38</v>
      </c>
      <c r="J456" s="59">
        <f>SUM(J455-J457)</f>
        <v>17448000</v>
      </c>
      <c r="K456" s="59"/>
      <c r="L456" s="59">
        <f>SUM(J456+K456)</f>
        <v>17448000</v>
      </c>
    </row>
    <row r="457" spans="1:14" x14ac:dyDescent="0.2">
      <c r="A457" s="519"/>
      <c r="B457" s="49"/>
      <c r="D457" s="519"/>
      <c r="E457" s="579"/>
      <c r="F457" s="311"/>
      <c r="G457" s="55" t="s">
        <v>113</v>
      </c>
      <c r="H457" s="313"/>
      <c r="I457" s="220" t="s">
        <v>280</v>
      </c>
      <c r="J457" s="59">
        <v>1500000</v>
      </c>
      <c r="K457" s="59"/>
      <c r="L457" s="59">
        <f>SUM(J457:K457)</f>
        <v>1500000</v>
      </c>
    </row>
    <row r="458" spans="1:14" x14ac:dyDescent="0.2">
      <c r="A458" s="519"/>
      <c r="B458" s="49"/>
      <c r="D458" s="519"/>
      <c r="E458" s="579"/>
      <c r="F458" s="311"/>
      <c r="G458" s="55"/>
      <c r="H458" s="313"/>
      <c r="I458" s="126"/>
      <c r="J458" s="127"/>
      <c r="K458" s="127"/>
      <c r="L458" s="127"/>
    </row>
    <row r="459" spans="1:14" x14ac:dyDescent="0.2">
      <c r="A459" s="519"/>
      <c r="B459" s="49"/>
      <c r="D459" s="519"/>
      <c r="E459" s="580"/>
      <c r="F459" s="439"/>
      <c r="G459" s="330"/>
      <c r="H459" s="460"/>
      <c r="I459" s="396" t="s">
        <v>412</v>
      </c>
      <c r="J459" s="397"/>
      <c r="K459" s="397"/>
      <c r="L459" s="415"/>
    </row>
    <row r="460" spans="1:14" x14ac:dyDescent="0.2">
      <c r="A460" s="519"/>
      <c r="B460" s="49"/>
      <c r="D460" s="519"/>
      <c r="E460" s="580" t="s">
        <v>728</v>
      </c>
      <c r="F460" s="439"/>
      <c r="G460" s="330"/>
      <c r="H460" s="460"/>
      <c r="I460" s="398" t="s">
        <v>727</v>
      </c>
      <c r="J460" s="399"/>
      <c r="K460" s="399"/>
      <c r="L460" s="402"/>
    </row>
    <row r="461" spans="1:14" ht="22.5" x14ac:dyDescent="0.2">
      <c r="A461" s="519"/>
      <c r="B461" s="49"/>
      <c r="D461" s="519"/>
      <c r="E461" s="579"/>
      <c r="F461" s="311" t="s">
        <v>1048</v>
      </c>
      <c r="G461" s="55"/>
      <c r="H461" s="311">
        <v>511</v>
      </c>
      <c r="I461" s="12" t="s">
        <v>1047</v>
      </c>
      <c r="J461" s="59">
        <v>30000000</v>
      </c>
      <c r="K461" s="59"/>
      <c r="L461" s="59">
        <f>SUM(J461:K461)</f>
        <v>30000000</v>
      </c>
      <c r="N461" s="942"/>
    </row>
    <row r="462" spans="1:14" x14ac:dyDescent="0.2">
      <c r="A462" s="519"/>
      <c r="B462" s="49"/>
      <c r="D462" s="519"/>
      <c r="E462" s="579"/>
      <c r="F462" s="311">
        <v>81</v>
      </c>
      <c r="G462" s="55"/>
      <c r="H462" s="311">
        <v>511</v>
      </c>
      <c r="I462" s="217" t="s">
        <v>584</v>
      </c>
      <c r="J462" s="59">
        <v>1000</v>
      </c>
      <c r="K462" s="59"/>
      <c r="L462" s="59">
        <f>SUM(J462:K462)</f>
        <v>1000</v>
      </c>
      <c r="N462" s="942"/>
    </row>
    <row r="463" spans="1:14" x14ac:dyDescent="0.2">
      <c r="A463" s="519"/>
      <c r="B463" s="49"/>
      <c r="D463" s="519"/>
      <c r="E463" s="579"/>
      <c r="F463" s="311"/>
      <c r="G463" s="55" t="s">
        <v>37</v>
      </c>
      <c r="H463" s="313"/>
      <c r="I463" s="236" t="s">
        <v>38</v>
      </c>
      <c r="J463" s="59">
        <f>SUM(J461:J462)</f>
        <v>30001000</v>
      </c>
      <c r="K463" s="59"/>
      <c r="L463" s="59">
        <f>SUM(L461:L462)</f>
        <v>30001000</v>
      </c>
    </row>
    <row r="464" spans="1:14" x14ac:dyDescent="0.2">
      <c r="A464" s="519"/>
      <c r="B464" s="49"/>
      <c r="D464" s="519"/>
      <c r="E464" s="579"/>
      <c r="F464" s="311"/>
      <c r="G464" s="55"/>
      <c r="H464" s="313"/>
      <c r="I464" s="114" t="s">
        <v>1062</v>
      </c>
      <c r="J464" s="60">
        <f>SUM(J463)</f>
        <v>30001000</v>
      </c>
      <c r="K464" s="60"/>
      <c r="L464" s="60">
        <f>SUM(L463)</f>
        <v>30001000</v>
      </c>
    </row>
    <row r="465" spans="1:75" x14ac:dyDescent="0.2">
      <c r="A465" s="519"/>
      <c r="B465" s="49"/>
      <c r="D465" s="519"/>
      <c r="E465" s="579"/>
      <c r="F465" s="311"/>
      <c r="G465" s="55"/>
      <c r="H465" s="313"/>
      <c r="I465" s="126"/>
      <c r="J465" s="127"/>
      <c r="K465" s="127"/>
      <c r="L465" s="127"/>
    </row>
    <row r="466" spans="1:75" ht="22.5" x14ac:dyDescent="0.2">
      <c r="A466" s="519"/>
      <c r="B466" s="49"/>
      <c r="C466" s="49">
        <v>620</v>
      </c>
      <c r="D466" s="519"/>
      <c r="E466" s="581" t="s">
        <v>249</v>
      </c>
      <c r="F466" s="391"/>
      <c r="G466" s="334"/>
      <c r="H466" s="461"/>
      <c r="I466" s="401" t="s">
        <v>923</v>
      </c>
      <c r="J466" s="159"/>
      <c r="K466" s="159"/>
      <c r="L466" s="368"/>
    </row>
    <row r="467" spans="1:75" x14ac:dyDescent="0.2">
      <c r="A467" s="519"/>
      <c r="B467" s="49"/>
      <c r="D467" s="519"/>
      <c r="E467" s="579"/>
      <c r="F467" s="311">
        <v>82</v>
      </c>
      <c r="G467" s="47"/>
      <c r="H467" s="311">
        <v>424</v>
      </c>
      <c r="I467" s="220" t="s">
        <v>421</v>
      </c>
      <c r="J467" s="59">
        <v>3800000</v>
      </c>
      <c r="K467" s="59"/>
      <c r="L467" s="59">
        <f>SUM(J467+K467)</f>
        <v>3800000</v>
      </c>
    </row>
    <row r="468" spans="1:75" x14ac:dyDescent="0.2">
      <c r="A468" s="519"/>
      <c r="B468" s="49"/>
      <c r="D468" s="519"/>
      <c r="E468" s="579"/>
      <c r="F468" s="311"/>
      <c r="G468" s="55" t="s">
        <v>37</v>
      </c>
      <c r="H468" s="313"/>
      <c r="I468" s="220" t="s">
        <v>38</v>
      </c>
      <c r="J468" s="59">
        <f>SUM(J467:J467)</f>
        <v>3800000</v>
      </c>
      <c r="K468" s="60"/>
      <c r="L468" s="59">
        <f>SUM(J468+K468)</f>
        <v>3800000</v>
      </c>
    </row>
    <row r="469" spans="1:75" x14ac:dyDescent="0.2">
      <c r="A469" s="519"/>
      <c r="B469" s="49"/>
      <c r="D469" s="519"/>
      <c r="E469" s="579"/>
      <c r="F469" s="311"/>
      <c r="G469" s="55"/>
      <c r="H469" s="313"/>
      <c r="I469" s="229" t="s">
        <v>924</v>
      </c>
      <c r="J469" s="60">
        <f>SUM(J468)</f>
        <v>3800000</v>
      </c>
      <c r="K469" s="60"/>
      <c r="L469" s="60">
        <f t="shared" ref="L469" si="35">SUM(L468)</f>
        <v>3800000</v>
      </c>
    </row>
    <row r="470" spans="1:75" x14ac:dyDescent="0.2">
      <c r="A470" s="519"/>
      <c r="B470" s="49"/>
      <c r="D470" s="519"/>
      <c r="E470" s="579"/>
      <c r="F470" s="311"/>
      <c r="G470" s="47"/>
      <c r="H470" s="312"/>
      <c r="I470" s="288"/>
      <c r="J470" s="80"/>
      <c r="K470" s="80"/>
      <c r="L470" s="260"/>
    </row>
    <row r="471" spans="1:75" s="702" customFormat="1" x14ac:dyDescent="0.2">
      <c r="A471" s="689"/>
      <c r="B471" s="690"/>
      <c r="C471" s="690"/>
      <c r="D471" s="690">
        <v>1102</v>
      </c>
      <c r="E471" s="617"/>
      <c r="F471" s="701"/>
      <c r="G471" s="691"/>
      <c r="H471" s="701"/>
      <c r="I471" s="693" t="s">
        <v>455</v>
      </c>
      <c r="J471" s="694">
        <f>SUM(J480+J487+J531+J538+J544+J552+J566+J571+J576+J582+J587+J592+J597+J602+J608+J613+J618+J625+J630+J637+J642+J647+J652+J664+J670+J677+J685+J690+J504+J509+J514+J519+J524+J493+J499+J558)</f>
        <v>635145184.92999995</v>
      </c>
      <c r="K471" s="694"/>
      <c r="L471" s="694">
        <f>SUM(J471:K471)</f>
        <v>635145184.92999995</v>
      </c>
      <c r="M471" s="189"/>
      <c r="N471" s="920"/>
      <c r="O471" s="189"/>
      <c r="P471" s="166"/>
      <c r="Q471" s="191"/>
      <c r="R471" s="191"/>
      <c r="S471" s="191"/>
      <c r="T471" s="191"/>
      <c r="U471" s="191"/>
      <c r="V471" s="191"/>
      <c r="W471" s="191"/>
      <c r="X471" s="191"/>
      <c r="Y471" s="191"/>
      <c r="Z471" s="191"/>
      <c r="AA471" s="191"/>
      <c r="AB471" s="191"/>
      <c r="AC471" s="191"/>
      <c r="AD471" s="191"/>
      <c r="AE471" s="191"/>
      <c r="AF471" s="191"/>
      <c r="AG471" s="191"/>
      <c r="AH471" s="191"/>
      <c r="AI471" s="191"/>
      <c r="AJ471" s="191"/>
      <c r="AK471" s="191"/>
      <c r="AL471" s="191"/>
      <c r="AM471" s="191"/>
      <c r="AN471" s="191"/>
      <c r="AO471" s="191"/>
      <c r="AP471" s="191"/>
      <c r="AQ471" s="191"/>
      <c r="AR471" s="191"/>
      <c r="AS471" s="191"/>
      <c r="AT471" s="191"/>
      <c r="AU471" s="191"/>
      <c r="AV471" s="191"/>
      <c r="AW471" s="191"/>
      <c r="AX471" s="191"/>
      <c r="AY471" s="191"/>
      <c r="AZ471" s="191"/>
      <c r="BA471" s="191"/>
      <c r="BB471" s="191"/>
      <c r="BC471" s="191"/>
      <c r="BD471" s="191"/>
      <c r="BE471" s="191"/>
      <c r="BF471" s="191"/>
      <c r="BG471" s="191"/>
      <c r="BH471" s="191"/>
      <c r="BI471" s="191"/>
      <c r="BJ471" s="191"/>
      <c r="BK471" s="191"/>
      <c r="BL471" s="191"/>
      <c r="BM471" s="191"/>
      <c r="BN471" s="191"/>
      <c r="BO471" s="191"/>
      <c r="BP471" s="191"/>
      <c r="BQ471" s="191"/>
      <c r="BR471" s="191"/>
      <c r="BS471" s="191"/>
      <c r="BT471" s="191"/>
      <c r="BU471" s="191"/>
      <c r="BV471" s="191"/>
      <c r="BW471" s="191"/>
    </row>
    <row r="472" spans="1:75" x14ac:dyDescent="0.2">
      <c r="A472" s="613"/>
      <c r="B472" s="436"/>
      <c r="C472" s="436"/>
      <c r="D472" s="367"/>
      <c r="E472" s="582"/>
      <c r="F472" s="441"/>
      <c r="G472" s="230"/>
      <c r="H472" s="441"/>
      <c r="I472" s="78"/>
      <c r="J472" s="30"/>
      <c r="K472" s="30"/>
      <c r="L472" s="61"/>
    </row>
    <row r="473" spans="1:75" x14ac:dyDescent="0.2">
      <c r="A473" s="519"/>
      <c r="B473" s="49"/>
      <c r="D473" s="519"/>
      <c r="E473" s="580"/>
      <c r="F473" s="439"/>
      <c r="G473" s="329"/>
      <c r="H473" s="457"/>
      <c r="I473" s="396" t="s">
        <v>237</v>
      </c>
      <c r="J473" s="397"/>
      <c r="K473" s="397"/>
      <c r="L473" s="331"/>
    </row>
    <row r="474" spans="1:75" x14ac:dyDescent="0.2">
      <c r="A474" s="519"/>
      <c r="B474" s="49"/>
      <c r="D474" s="519"/>
      <c r="E474" s="580" t="s">
        <v>462</v>
      </c>
      <c r="F474" s="439"/>
      <c r="G474" s="329"/>
      <c r="H474" s="460"/>
      <c r="I474" s="398" t="s">
        <v>463</v>
      </c>
      <c r="J474" s="399"/>
      <c r="K474" s="399"/>
      <c r="L474" s="402"/>
    </row>
    <row r="475" spans="1:75" x14ac:dyDescent="0.2">
      <c r="A475" s="613"/>
      <c r="B475" s="436"/>
      <c r="C475" s="436"/>
      <c r="D475" s="613"/>
      <c r="E475" s="582"/>
      <c r="F475" s="441"/>
      <c r="G475" s="230"/>
      <c r="H475" s="340"/>
      <c r="I475" s="18"/>
      <c r="J475" s="31"/>
      <c r="K475" s="31"/>
      <c r="L475" s="77"/>
    </row>
    <row r="476" spans="1:75" x14ac:dyDescent="0.2">
      <c r="A476" s="49"/>
      <c r="B476" s="49"/>
      <c r="C476" s="49">
        <v>560</v>
      </c>
      <c r="D476" s="49"/>
      <c r="E476" s="579"/>
      <c r="F476" s="311"/>
      <c r="G476" s="47"/>
      <c r="H476" s="311"/>
      <c r="I476" s="287" t="s">
        <v>303</v>
      </c>
      <c r="J476" s="76"/>
      <c r="K476" s="76"/>
      <c r="L476" s="218"/>
    </row>
    <row r="477" spans="1:75" x14ac:dyDescent="0.2">
      <c r="A477" s="49"/>
      <c r="B477" s="49"/>
      <c r="D477" s="49"/>
      <c r="E477" s="579"/>
      <c r="F477" s="311"/>
      <c r="G477" s="47"/>
      <c r="H477" s="311"/>
      <c r="I477" s="233"/>
      <c r="J477" s="31"/>
      <c r="K477" s="31"/>
      <c r="L477" s="77"/>
    </row>
    <row r="478" spans="1:75" x14ac:dyDescent="0.2">
      <c r="A478" s="519"/>
      <c r="B478" s="49"/>
      <c r="E478" s="579"/>
      <c r="F478" s="311">
        <v>83</v>
      </c>
      <c r="G478" s="47"/>
      <c r="H478" s="311">
        <v>424</v>
      </c>
      <c r="I478" s="272" t="s">
        <v>317</v>
      </c>
      <c r="J478" s="59">
        <v>134000000</v>
      </c>
      <c r="K478" s="59"/>
      <c r="L478" s="59">
        <f>SUM(J478+K478)</f>
        <v>134000000</v>
      </c>
    </row>
    <row r="479" spans="1:75" x14ac:dyDescent="0.2">
      <c r="A479" s="519"/>
      <c r="B479" s="49"/>
      <c r="E479" s="579"/>
      <c r="F479" s="311"/>
      <c r="G479" s="55" t="s">
        <v>37</v>
      </c>
      <c r="H479" s="313"/>
      <c r="I479" s="220" t="s">
        <v>38</v>
      </c>
      <c r="J479" s="59">
        <f>SUM(J478)</f>
        <v>134000000</v>
      </c>
      <c r="K479" s="59"/>
      <c r="L479" s="59">
        <f>SUM(J479:K479)</f>
        <v>134000000</v>
      </c>
    </row>
    <row r="480" spans="1:75" x14ac:dyDescent="0.2">
      <c r="A480" s="519"/>
      <c r="B480" s="49"/>
      <c r="D480" s="519"/>
      <c r="E480" s="579"/>
      <c r="F480" s="311"/>
      <c r="G480" s="47"/>
      <c r="H480" s="312"/>
      <c r="I480" s="229" t="s">
        <v>624</v>
      </c>
      <c r="J480" s="60">
        <f>SUM(J479:J479)</f>
        <v>134000000</v>
      </c>
      <c r="K480" s="60"/>
      <c r="L480" s="60">
        <f>SUM(J480:K480)</f>
        <v>134000000</v>
      </c>
    </row>
    <row r="481" spans="1:12" x14ac:dyDescent="0.2">
      <c r="A481" s="519"/>
      <c r="B481" s="49"/>
      <c r="D481" s="519"/>
      <c r="E481" s="579"/>
      <c r="F481" s="311"/>
      <c r="G481" s="47"/>
      <c r="H481" s="312"/>
      <c r="I481" s="18"/>
      <c r="J481" s="192"/>
      <c r="K481" s="192"/>
      <c r="L481" s="327"/>
    </row>
    <row r="482" spans="1:12" x14ac:dyDescent="0.2">
      <c r="A482" s="519"/>
      <c r="B482" s="49"/>
      <c r="C482" s="49">
        <v>560</v>
      </c>
      <c r="D482" s="519"/>
      <c r="E482" s="580" t="s">
        <v>684</v>
      </c>
      <c r="F482" s="439"/>
      <c r="G482" s="329"/>
      <c r="H482" s="457"/>
      <c r="I482" s="396" t="s">
        <v>412</v>
      </c>
      <c r="J482" s="397"/>
      <c r="K482" s="397"/>
      <c r="L482" s="331"/>
    </row>
    <row r="483" spans="1:12" x14ac:dyDescent="0.2">
      <c r="A483" s="519"/>
      <c r="B483" s="49"/>
      <c r="D483" s="519"/>
      <c r="E483" s="580"/>
      <c r="F483" s="439"/>
      <c r="G483" s="329"/>
      <c r="H483" s="457"/>
      <c r="I483" s="398" t="s">
        <v>685</v>
      </c>
      <c r="J483" s="399"/>
      <c r="K483" s="399"/>
      <c r="L483" s="402"/>
    </row>
    <row r="484" spans="1:12" x14ac:dyDescent="0.2">
      <c r="A484" s="519"/>
      <c r="B484" s="49"/>
      <c r="D484" s="519"/>
      <c r="E484" s="579"/>
      <c r="F484" s="311"/>
      <c r="G484" s="47"/>
      <c r="H484" s="312"/>
      <c r="I484" s="18"/>
      <c r="J484" s="30"/>
      <c r="K484" s="30"/>
      <c r="L484" s="61"/>
    </row>
    <row r="485" spans="1:12" x14ac:dyDescent="0.2">
      <c r="A485" s="519"/>
      <c r="B485" s="49"/>
      <c r="D485" s="519"/>
      <c r="E485" s="579"/>
      <c r="F485" s="311">
        <v>84</v>
      </c>
      <c r="G485" s="47"/>
      <c r="H485" s="311">
        <v>424</v>
      </c>
      <c r="I485" s="272" t="s">
        <v>421</v>
      </c>
      <c r="J485" s="59">
        <v>10000000</v>
      </c>
      <c r="K485" s="59"/>
      <c r="L485" s="59">
        <f>SUM(J485+K485)</f>
        <v>10000000</v>
      </c>
    </row>
    <row r="486" spans="1:12" x14ac:dyDescent="0.2">
      <c r="A486" s="519"/>
      <c r="B486" s="49"/>
      <c r="D486" s="519"/>
      <c r="E486" s="579"/>
      <c r="F486" s="311"/>
      <c r="G486" s="55" t="s">
        <v>37</v>
      </c>
      <c r="H486" s="313"/>
      <c r="I486" s="220" t="s">
        <v>38</v>
      </c>
      <c r="J486" s="59">
        <f>SUM(J485)</f>
        <v>10000000</v>
      </c>
      <c r="K486" s="59"/>
      <c r="L486" s="59">
        <f>SUM(J486:K486)</f>
        <v>10000000</v>
      </c>
    </row>
    <row r="487" spans="1:12" x14ac:dyDescent="0.2">
      <c r="A487" s="519"/>
      <c r="B487" s="49"/>
      <c r="D487" s="519"/>
      <c r="E487" s="579"/>
      <c r="F487" s="311"/>
      <c r="G487" s="47"/>
      <c r="H487" s="312"/>
      <c r="I487" s="229" t="s">
        <v>686</v>
      </c>
      <c r="J487" s="60">
        <f>SUM(J486:J486)</f>
        <v>10000000</v>
      </c>
      <c r="K487" s="60"/>
      <c r="L487" s="60">
        <f>SUM(L486:L486)</f>
        <v>10000000</v>
      </c>
    </row>
    <row r="488" spans="1:12" x14ac:dyDescent="0.2">
      <c r="A488" s="519"/>
      <c r="B488" s="49"/>
      <c r="D488" s="519"/>
      <c r="E488" s="579"/>
      <c r="F488" s="901"/>
      <c r="G488" s="902"/>
      <c r="H488" s="903"/>
      <c r="I488" s="18"/>
      <c r="J488" s="30"/>
      <c r="K488" s="30"/>
      <c r="L488" s="61"/>
    </row>
    <row r="489" spans="1:12" x14ac:dyDescent="0.2">
      <c r="A489" s="519"/>
      <c r="B489" s="49"/>
      <c r="C489" s="49">
        <v>620</v>
      </c>
      <c r="D489" s="519"/>
      <c r="E489" s="581" t="s">
        <v>454</v>
      </c>
      <c r="F489" s="391"/>
      <c r="G489" s="334"/>
      <c r="H489" s="391"/>
      <c r="I489" s="904" t="s">
        <v>955</v>
      </c>
      <c r="J489" s="60"/>
      <c r="K489" s="60"/>
      <c r="L489" s="60"/>
    </row>
    <row r="490" spans="1:12" x14ac:dyDescent="0.2">
      <c r="A490" s="519"/>
      <c r="B490" s="49"/>
      <c r="D490" s="519"/>
      <c r="E490" s="582"/>
      <c r="F490" s="882" t="s">
        <v>1001</v>
      </c>
      <c r="G490" s="883"/>
      <c r="H490" s="884" t="s">
        <v>46</v>
      </c>
      <c r="I490" s="888" t="s">
        <v>421</v>
      </c>
      <c r="J490" s="889">
        <v>200000</v>
      </c>
      <c r="K490" s="886"/>
      <c r="L490" s="889">
        <f>SUM(J490:K490)</f>
        <v>200000</v>
      </c>
    </row>
    <row r="491" spans="1:12" x14ac:dyDescent="0.2">
      <c r="A491" s="519"/>
      <c r="B491" s="49"/>
      <c r="D491" s="519"/>
      <c r="E491" s="579"/>
      <c r="F491" s="311" t="s">
        <v>1002</v>
      </c>
      <c r="G491" s="47"/>
      <c r="H491" s="311">
        <v>511</v>
      </c>
      <c r="I491" s="289" t="s">
        <v>20</v>
      </c>
      <c r="J491" s="369">
        <v>6000000</v>
      </c>
      <c r="K491" s="59"/>
      <c r="L491" s="59">
        <f>SUM(J491+K491)</f>
        <v>6000000</v>
      </c>
    </row>
    <row r="492" spans="1:12" x14ac:dyDescent="0.2">
      <c r="A492" s="519"/>
      <c r="B492" s="49"/>
      <c r="D492" s="519"/>
      <c r="E492" s="579"/>
      <c r="F492" s="311"/>
      <c r="G492" s="55" t="s">
        <v>37</v>
      </c>
      <c r="H492" s="313"/>
      <c r="I492" s="220" t="s">
        <v>38</v>
      </c>
      <c r="J492" s="64">
        <f>SUM(J490:J491)</f>
        <v>6200000</v>
      </c>
      <c r="K492" s="60"/>
      <c r="L492" s="59">
        <f>SUM(J492+K492)</f>
        <v>6200000</v>
      </c>
    </row>
    <row r="493" spans="1:12" x14ac:dyDescent="0.2">
      <c r="A493" s="519"/>
      <c r="B493" s="49"/>
      <c r="D493" s="519"/>
      <c r="E493" s="579"/>
      <c r="F493" s="311"/>
      <c r="G493" s="47"/>
      <c r="H493" s="311"/>
      <c r="I493" s="229" t="s">
        <v>710</v>
      </c>
      <c r="J493" s="60">
        <f>SUM(J492:J492)</f>
        <v>6200000</v>
      </c>
      <c r="K493" s="60"/>
      <c r="L493" s="60">
        <f>SUM(L492:L492)</f>
        <v>6200000</v>
      </c>
    </row>
    <row r="494" spans="1:12" x14ac:dyDescent="0.2">
      <c r="A494" s="519"/>
      <c r="B494" s="49"/>
      <c r="D494" s="519"/>
      <c r="E494" s="579"/>
      <c r="F494" s="311"/>
      <c r="G494" s="47"/>
      <c r="H494" s="312"/>
      <c r="I494" s="905"/>
      <c r="J494" s="60"/>
      <c r="K494" s="60"/>
      <c r="L494" s="60"/>
    </row>
    <row r="495" spans="1:12" x14ac:dyDescent="0.2">
      <c r="A495" s="519"/>
      <c r="B495" s="49"/>
      <c r="C495" s="49">
        <v>620</v>
      </c>
      <c r="D495" s="519"/>
      <c r="E495" s="581" t="s">
        <v>454</v>
      </c>
      <c r="F495" s="391"/>
      <c r="G495" s="334"/>
      <c r="H495" s="391"/>
      <c r="I495" s="904" t="s">
        <v>956</v>
      </c>
      <c r="J495" s="60"/>
      <c r="K495" s="60"/>
      <c r="L495" s="60"/>
    </row>
    <row r="496" spans="1:12" x14ac:dyDescent="0.2">
      <c r="A496" s="519"/>
      <c r="B496" s="49"/>
      <c r="D496" s="519"/>
      <c r="E496" s="582"/>
      <c r="F496" s="882" t="s">
        <v>1028</v>
      </c>
      <c r="G496" s="883"/>
      <c r="H496" s="884" t="s">
        <v>46</v>
      </c>
      <c r="I496" s="888" t="s">
        <v>421</v>
      </c>
      <c r="J496" s="889">
        <v>200000</v>
      </c>
      <c r="K496" s="886"/>
      <c r="L496" s="889">
        <f>SUM(J496:K496)</f>
        <v>200000</v>
      </c>
    </row>
    <row r="497" spans="1:12" x14ac:dyDescent="0.2">
      <c r="A497" s="519"/>
      <c r="B497" s="49"/>
      <c r="D497" s="519"/>
      <c r="E497" s="579"/>
      <c r="F497" s="311" t="s">
        <v>1029</v>
      </c>
      <c r="G497" s="47"/>
      <c r="H497" s="311">
        <v>511</v>
      </c>
      <c r="I497" s="289" t="s">
        <v>20</v>
      </c>
      <c r="J497" s="369">
        <v>6000000</v>
      </c>
      <c r="K497" s="59"/>
      <c r="L497" s="59">
        <f>SUM(J497+K497)</f>
        <v>6000000</v>
      </c>
    </row>
    <row r="498" spans="1:12" x14ac:dyDescent="0.2">
      <c r="A498" s="519"/>
      <c r="B498" s="49"/>
      <c r="D498" s="519"/>
      <c r="E498" s="579"/>
      <c r="F498" s="311"/>
      <c r="G498" s="55" t="s">
        <v>37</v>
      </c>
      <c r="H498" s="313"/>
      <c r="I498" s="220" t="s">
        <v>38</v>
      </c>
      <c r="J498" s="64">
        <f>SUM(J496:J497)</f>
        <v>6200000</v>
      </c>
      <c r="K498" s="60"/>
      <c r="L498" s="59">
        <f>SUM(J498+K498)</f>
        <v>6200000</v>
      </c>
    </row>
    <row r="499" spans="1:12" x14ac:dyDescent="0.2">
      <c r="A499" s="519"/>
      <c r="B499" s="49"/>
      <c r="D499" s="519"/>
      <c r="E499" s="579"/>
      <c r="F499" s="311"/>
      <c r="G499" s="47"/>
      <c r="H499" s="311"/>
      <c r="I499" s="229" t="s">
        <v>710</v>
      </c>
      <c r="J499" s="60">
        <f>SUM(J498:J498)</f>
        <v>6200000</v>
      </c>
      <c r="K499" s="60"/>
      <c r="L499" s="60">
        <f>SUM(L498:L498)</f>
        <v>6200000</v>
      </c>
    </row>
    <row r="500" spans="1:12" x14ac:dyDescent="0.2">
      <c r="A500" s="519"/>
      <c r="B500" s="49"/>
      <c r="D500" s="519"/>
      <c r="E500" s="579"/>
      <c r="F500" s="311"/>
      <c r="G500" s="47"/>
      <c r="H500" s="312"/>
      <c r="I500" s="905"/>
      <c r="J500" s="60"/>
      <c r="K500" s="60"/>
      <c r="L500" s="60"/>
    </row>
    <row r="501" spans="1:12" ht="22.5" x14ac:dyDescent="0.2">
      <c r="A501" s="519"/>
      <c r="B501" s="49"/>
      <c r="C501" s="49">
        <v>560</v>
      </c>
      <c r="E501" s="581" t="s">
        <v>454</v>
      </c>
      <c r="F501" s="391"/>
      <c r="G501" s="334"/>
      <c r="H501" s="391"/>
      <c r="I501" s="336" t="s">
        <v>722</v>
      </c>
      <c r="J501" s="326"/>
      <c r="K501" s="326"/>
      <c r="L501" s="57"/>
    </row>
    <row r="502" spans="1:12" x14ac:dyDescent="0.2">
      <c r="A502" s="519"/>
      <c r="B502" s="49"/>
      <c r="E502" s="579"/>
      <c r="F502" s="311">
        <v>85</v>
      </c>
      <c r="G502" s="47"/>
      <c r="H502" s="311">
        <v>424</v>
      </c>
      <c r="I502" s="272" t="s">
        <v>421</v>
      </c>
      <c r="J502" s="369">
        <v>600000</v>
      </c>
      <c r="K502" s="59"/>
      <c r="L502" s="59">
        <f>SUM(J502+K502)</f>
        <v>600000</v>
      </c>
    </row>
    <row r="503" spans="1:12" x14ac:dyDescent="0.2">
      <c r="B503" s="185"/>
      <c r="C503" s="185"/>
      <c r="D503" s="517"/>
      <c r="E503" s="579"/>
      <c r="F503" s="311"/>
      <c r="G503" s="55" t="s">
        <v>37</v>
      </c>
      <c r="H503" s="313"/>
      <c r="I503" s="220" t="s">
        <v>38</v>
      </c>
      <c r="J503" s="64">
        <f>SUM(J502)</f>
        <v>600000</v>
      </c>
      <c r="K503" s="60"/>
      <c r="L503" s="59">
        <f>SUM(J503+K503)</f>
        <v>600000</v>
      </c>
    </row>
    <row r="504" spans="1:12" x14ac:dyDescent="0.2">
      <c r="B504" s="185"/>
      <c r="C504" s="185"/>
      <c r="D504" s="517"/>
      <c r="E504" s="579"/>
      <c r="F504" s="311"/>
      <c r="G504" s="47"/>
      <c r="H504" s="311"/>
      <c r="I504" s="229" t="s">
        <v>710</v>
      </c>
      <c r="J504" s="60">
        <f>SUM(J503:J503)</f>
        <v>600000</v>
      </c>
      <c r="K504" s="60"/>
      <c r="L504" s="60">
        <f>SUM(L503:L503)</f>
        <v>600000</v>
      </c>
    </row>
    <row r="505" spans="1:12" x14ac:dyDescent="0.2">
      <c r="A505" s="519"/>
      <c r="B505" s="49"/>
      <c r="D505" s="519"/>
      <c r="E505" s="579"/>
      <c r="F505" s="311"/>
      <c r="G505" s="47"/>
      <c r="H505" s="312"/>
      <c r="I505" s="269"/>
      <c r="J505" s="30"/>
      <c r="K505" s="30"/>
      <c r="L505" s="61"/>
    </row>
    <row r="506" spans="1:12" ht="22.5" x14ac:dyDescent="0.2">
      <c r="A506" s="519"/>
      <c r="B506" s="49"/>
      <c r="C506" s="49">
        <v>560</v>
      </c>
      <c r="E506" s="581" t="s">
        <v>454</v>
      </c>
      <c r="F506" s="391"/>
      <c r="G506" s="334"/>
      <c r="H506" s="391"/>
      <c r="I506" s="336" t="s">
        <v>723</v>
      </c>
      <c r="J506" s="326"/>
      <c r="K506" s="326"/>
      <c r="L506" s="57"/>
    </row>
    <row r="507" spans="1:12" x14ac:dyDescent="0.2">
      <c r="A507" s="519"/>
      <c r="B507" s="49"/>
      <c r="E507" s="579"/>
      <c r="F507" s="311">
        <v>86</v>
      </c>
      <c r="G507" s="47"/>
      <c r="H507" s="311">
        <v>424</v>
      </c>
      <c r="I507" s="272" t="s">
        <v>421</v>
      </c>
      <c r="J507" s="369">
        <v>600000</v>
      </c>
      <c r="K507" s="59"/>
      <c r="L507" s="59">
        <f>SUM(J507+K507)</f>
        <v>600000</v>
      </c>
    </row>
    <row r="508" spans="1:12" x14ac:dyDescent="0.2">
      <c r="B508" s="185"/>
      <c r="C508" s="185"/>
      <c r="D508" s="517"/>
      <c r="E508" s="579"/>
      <c r="F508" s="311"/>
      <c r="G508" s="55" t="s">
        <v>37</v>
      </c>
      <c r="H508" s="313"/>
      <c r="I508" s="220" t="s">
        <v>38</v>
      </c>
      <c r="J508" s="64">
        <f>SUM(J507)</f>
        <v>600000</v>
      </c>
      <c r="K508" s="60"/>
      <c r="L508" s="59">
        <f>SUM(J508+K508)</f>
        <v>600000</v>
      </c>
    </row>
    <row r="509" spans="1:12" x14ac:dyDescent="0.2">
      <c r="B509" s="185"/>
      <c r="C509" s="185"/>
      <c r="D509" s="517"/>
      <c r="E509" s="579"/>
      <c r="F509" s="311"/>
      <c r="G509" s="47"/>
      <c r="H509" s="311"/>
      <c r="I509" s="229" t="s">
        <v>710</v>
      </c>
      <c r="J509" s="60">
        <f>SUM(J508:J508)</f>
        <v>600000</v>
      </c>
      <c r="K509" s="60"/>
      <c r="L509" s="60">
        <f>SUM(L508:L508)</f>
        <v>600000</v>
      </c>
    </row>
    <row r="510" spans="1:12" x14ac:dyDescent="0.2">
      <c r="A510" s="519"/>
      <c r="B510" s="49"/>
      <c r="D510" s="519"/>
      <c r="E510" s="579"/>
      <c r="F510" s="311"/>
      <c r="G510" s="47"/>
      <c r="H510" s="312"/>
      <c r="I510" s="269"/>
      <c r="J510" s="30"/>
      <c r="K510" s="30"/>
      <c r="L510" s="61"/>
    </row>
    <row r="511" spans="1:12" ht="22.5" x14ac:dyDescent="0.2">
      <c r="A511" s="519"/>
      <c r="B511" s="49"/>
      <c r="C511" s="49">
        <v>560</v>
      </c>
      <c r="E511" s="581" t="s">
        <v>454</v>
      </c>
      <c r="F511" s="391"/>
      <c r="G511" s="334"/>
      <c r="H511" s="391"/>
      <c r="I511" s="336" t="s">
        <v>724</v>
      </c>
      <c r="J511" s="326"/>
      <c r="K511" s="326"/>
      <c r="L511" s="57"/>
    </row>
    <row r="512" spans="1:12" x14ac:dyDescent="0.2">
      <c r="A512" s="519"/>
      <c r="B512" s="49"/>
      <c r="E512" s="579"/>
      <c r="F512" s="311">
        <v>87</v>
      </c>
      <c r="G512" s="47"/>
      <c r="H512" s="311">
        <v>424</v>
      </c>
      <c r="I512" s="272" t="s">
        <v>421</v>
      </c>
      <c r="J512" s="369">
        <v>600000</v>
      </c>
      <c r="K512" s="59"/>
      <c r="L512" s="59">
        <f>SUM(J512+K512)</f>
        <v>600000</v>
      </c>
    </row>
    <row r="513" spans="1:14" x14ac:dyDescent="0.2">
      <c r="B513" s="185"/>
      <c r="C513" s="185"/>
      <c r="D513" s="517"/>
      <c r="E513" s="579"/>
      <c r="F513" s="311"/>
      <c r="G513" s="55" t="s">
        <v>37</v>
      </c>
      <c r="H513" s="313"/>
      <c r="I513" s="220" t="s">
        <v>38</v>
      </c>
      <c r="J513" s="64">
        <f>SUM(J512)</f>
        <v>600000</v>
      </c>
      <c r="K513" s="60"/>
      <c r="L513" s="59">
        <f>SUM(J513+K513)</f>
        <v>600000</v>
      </c>
    </row>
    <row r="514" spans="1:14" x14ac:dyDescent="0.2">
      <c r="B514" s="185"/>
      <c r="C514" s="185"/>
      <c r="D514" s="517"/>
      <c r="E514" s="579"/>
      <c r="F514" s="311"/>
      <c r="G514" s="47"/>
      <c r="H514" s="311"/>
      <c r="I514" s="229" t="s">
        <v>710</v>
      </c>
      <c r="J514" s="60">
        <f>SUM(J513:J513)</f>
        <v>600000</v>
      </c>
      <c r="K514" s="60"/>
      <c r="L514" s="60">
        <f>SUM(L513:L513)</f>
        <v>600000</v>
      </c>
    </row>
    <row r="515" spans="1:14" x14ac:dyDescent="0.2">
      <c r="A515" s="519"/>
      <c r="B515" s="49"/>
      <c r="D515" s="519"/>
      <c r="E515" s="579"/>
      <c r="F515" s="311"/>
      <c r="G515" s="47"/>
      <c r="H515" s="312"/>
      <c r="I515" s="269"/>
      <c r="J515" s="30"/>
      <c r="K515" s="30"/>
      <c r="L515" s="61"/>
    </row>
    <row r="516" spans="1:14" ht="22.5" x14ac:dyDescent="0.2">
      <c r="A516" s="519"/>
      <c r="B516" s="49"/>
      <c r="C516" s="49">
        <v>560</v>
      </c>
      <c r="E516" s="581" t="s">
        <v>454</v>
      </c>
      <c r="F516" s="391"/>
      <c r="G516" s="334"/>
      <c r="H516" s="391"/>
      <c r="I516" s="336" t="s">
        <v>725</v>
      </c>
      <c r="J516" s="326"/>
      <c r="K516" s="326"/>
      <c r="L516" s="57"/>
    </row>
    <row r="517" spans="1:14" x14ac:dyDescent="0.2">
      <c r="A517" s="519"/>
      <c r="B517" s="49"/>
      <c r="E517" s="579"/>
      <c r="F517" s="311">
        <v>88</v>
      </c>
      <c r="G517" s="47"/>
      <c r="H517" s="311">
        <v>424</v>
      </c>
      <c r="I517" s="272" t="s">
        <v>421</v>
      </c>
      <c r="J517" s="369">
        <v>600000</v>
      </c>
      <c r="K517" s="59"/>
      <c r="L517" s="59">
        <f>SUM(J517+K517)</f>
        <v>600000</v>
      </c>
    </row>
    <row r="518" spans="1:14" x14ac:dyDescent="0.2">
      <c r="B518" s="185"/>
      <c r="C518" s="185"/>
      <c r="D518" s="517"/>
      <c r="E518" s="579"/>
      <c r="F518" s="311"/>
      <c r="G518" s="55" t="s">
        <v>37</v>
      </c>
      <c r="H518" s="313"/>
      <c r="I518" s="220" t="s">
        <v>38</v>
      </c>
      <c r="J518" s="64">
        <f>SUM(J517)</f>
        <v>600000</v>
      </c>
      <c r="K518" s="60"/>
      <c r="L518" s="59">
        <f>SUM(J518+K518)</f>
        <v>600000</v>
      </c>
    </row>
    <row r="519" spans="1:14" x14ac:dyDescent="0.2">
      <c r="B519" s="185"/>
      <c r="C519" s="185"/>
      <c r="D519" s="517"/>
      <c r="E519" s="579"/>
      <c r="F519" s="311"/>
      <c r="G519" s="47"/>
      <c r="H519" s="311"/>
      <c r="I519" s="229" t="s">
        <v>710</v>
      </c>
      <c r="J519" s="60">
        <f>SUM(J518:J518)</f>
        <v>600000</v>
      </c>
      <c r="K519" s="60"/>
      <c r="L519" s="60">
        <f>SUM(L518:L518)</f>
        <v>600000</v>
      </c>
    </row>
    <row r="520" spans="1:14" x14ac:dyDescent="0.2">
      <c r="A520" s="519"/>
      <c r="B520" s="49"/>
      <c r="D520" s="519"/>
      <c r="E520" s="579"/>
      <c r="F520" s="311"/>
      <c r="G520" s="47"/>
      <c r="H520" s="312"/>
      <c r="I520" s="269"/>
      <c r="J520" s="30"/>
      <c r="K520" s="30"/>
      <c r="L520" s="61"/>
    </row>
    <row r="521" spans="1:14" ht="22.5" x14ac:dyDescent="0.2">
      <c r="A521" s="519"/>
      <c r="B521" s="49"/>
      <c r="C521" s="49">
        <v>560</v>
      </c>
      <c r="E521" s="581" t="s">
        <v>454</v>
      </c>
      <c r="F521" s="391"/>
      <c r="G521" s="334"/>
      <c r="H521" s="391"/>
      <c r="I521" s="336" t="s">
        <v>726</v>
      </c>
      <c r="J521" s="326"/>
      <c r="K521" s="326"/>
      <c r="L521" s="57"/>
    </row>
    <row r="522" spans="1:14" x14ac:dyDescent="0.2">
      <c r="A522" s="519"/>
      <c r="B522" s="49"/>
      <c r="E522" s="579"/>
      <c r="F522" s="311">
        <v>89</v>
      </c>
      <c r="G522" s="47"/>
      <c r="H522" s="311">
        <v>423</v>
      </c>
      <c r="I522" s="272" t="s">
        <v>9</v>
      </c>
      <c r="J522" s="369">
        <v>20000000</v>
      </c>
      <c r="K522" s="59"/>
      <c r="L522" s="59">
        <f>SUM(J522+K522)</f>
        <v>20000000</v>
      </c>
      <c r="N522" s="942"/>
    </row>
    <row r="523" spans="1:14" x14ac:dyDescent="0.2">
      <c r="B523" s="185"/>
      <c r="C523" s="185"/>
      <c r="D523" s="517"/>
      <c r="E523" s="579"/>
      <c r="F523" s="311"/>
      <c r="G523" s="55" t="s">
        <v>37</v>
      </c>
      <c r="H523" s="313"/>
      <c r="I523" s="220" t="s">
        <v>38</v>
      </c>
      <c r="J523" s="64">
        <f>SUM(J522)</f>
        <v>20000000</v>
      </c>
      <c r="K523" s="60"/>
      <c r="L523" s="59">
        <f>SUM(J523+K523)</f>
        <v>20000000</v>
      </c>
    </row>
    <row r="524" spans="1:14" x14ac:dyDescent="0.2">
      <c r="B524" s="185"/>
      <c r="C524" s="185"/>
      <c r="D524" s="517"/>
      <c r="E524" s="579"/>
      <c r="F524" s="311"/>
      <c r="G524" s="47"/>
      <c r="H524" s="311"/>
      <c r="I524" s="229" t="s">
        <v>710</v>
      </c>
      <c r="J524" s="60">
        <f>SUM(J523:J523)</f>
        <v>20000000</v>
      </c>
      <c r="K524" s="60"/>
      <c r="L524" s="60">
        <f>SUM(L523:L523)</f>
        <v>20000000</v>
      </c>
    </row>
    <row r="525" spans="1:14" x14ac:dyDescent="0.2">
      <c r="A525" s="613"/>
      <c r="B525" s="436"/>
      <c r="C525" s="436"/>
      <c r="D525" s="613"/>
      <c r="E525" s="582"/>
      <c r="F525" s="441"/>
      <c r="G525" s="230"/>
      <c r="H525" s="470"/>
      <c r="I525" s="78"/>
      <c r="J525" s="30"/>
      <c r="K525" s="30"/>
      <c r="L525" s="61"/>
    </row>
    <row r="526" spans="1:14" x14ac:dyDescent="0.2">
      <c r="A526" s="519"/>
      <c r="B526" s="49"/>
      <c r="C526" s="49">
        <v>560</v>
      </c>
      <c r="D526" s="49"/>
      <c r="E526" s="579"/>
      <c r="F526" s="311"/>
      <c r="G526" s="47"/>
      <c r="H526" s="311"/>
      <c r="I526" s="287" t="s">
        <v>303</v>
      </c>
      <c r="J526" s="76"/>
      <c r="K526" s="76"/>
      <c r="L526" s="218"/>
    </row>
    <row r="527" spans="1:14" x14ac:dyDescent="0.2">
      <c r="A527" s="519"/>
      <c r="B527" s="49"/>
      <c r="E527" s="579"/>
      <c r="F527" s="311"/>
      <c r="G527" s="47"/>
      <c r="H527" s="311"/>
      <c r="I527" s="28"/>
      <c r="J527" s="30"/>
      <c r="K527" s="30"/>
      <c r="L527" s="61"/>
    </row>
    <row r="528" spans="1:14" x14ac:dyDescent="0.2">
      <c r="A528" s="519"/>
      <c r="B528" s="49"/>
      <c r="E528" s="581" t="s">
        <v>454</v>
      </c>
      <c r="F528" s="391"/>
      <c r="G528" s="334"/>
      <c r="H528" s="391"/>
      <c r="I528" s="403" t="s">
        <v>908</v>
      </c>
      <c r="J528" s="326"/>
      <c r="K528" s="326"/>
      <c r="L528" s="57"/>
    </row>
    <row r="529" spans="1:12" x14ac:dyDescent="0.2">
      <c r="A529" s="519"/>
      <c r="B529" s="49"/>
      <c r="E529" s="579"/>
      <c r="F529" s="311">
        <v>90</v>
      </c>
      <c r="G529" s="47"/>
      <c r="H529" s="311">
        <v>424</v>
      </c>
      <c r="I529" s="272" t="s">
        <v>421</v>
      </c>
      <c r="J529" s="369">
        <v>1500000</v>
      </c>
      <c r="K529" s="59"/>
      <c r="L529" s="59">
        <f>SUM(J529+K529)</f>
        <v>1500000</v>
      </c>
    </row>
    <row r="530" spans="1:12" x14ac:dyDescent="0.2">
      <c r="B530" s="185"/>
      <c r="C530" s="185"/>
      <c r="D530" s="517"/>
      <c r="E530" s="579"/>
      <c r="F530" s="311"/>
      <c r="G530" s="55" t="s">
        <v>37</v>
      </c>
      <c r="H530" s="313"/>
      <c r="I530" s="220" t="s">
        <v>38</v>
      </c>
      <c r="J530" s="64">
        <f>SUM(J529)</f>
        <v>1500000</v>
      </c>
      <c r="K530" s="60"/>
      <c r="L530" s="59">
        <f>SUM(J530+K530)</f>
        <v>1500000</v>
      </c>
    </row>
    <row r="531" spans="1:12" x14ac:dyDescent="0.2">
      <c r="B531" s="185"/>
      <c r="C531" s="185"/>
      <c r="D531" s="517"/>
      <c r="E531" s="579"/>
      <c r="F531" s="311"/>
      <c r="G531" s="47"/>
      <c r="H531" s="311"/>
      <c r="I531" s="229" t="s">
        <v>710</v>
      </c>
      <c r="J531" s="60">
        <f>SUM(J530:J530)</f>
        <v>1500000</v>
      </c>
      <c r="K531" s="60"/>
      <c r="L531" s="60">
        <f>SUM(L530:L530)</f>
        <v>1500000</v>
      </c>
    </row>
    <row r="532" spans="1:12" x14ac:dyDescent="0.2">
      <c r="B532" s="185"/>
      <c r="C532" s="185"/>
      <c r="D532" s="517"/>
      <c r="E532" s="579"/>
      <c r="F532" s="319"/>
      <c r="G532" s="79"/>
      <c r="H532" s="319"/>
      <c r="I532" s="703"/>
      <c r="J532" s="364"/>
      <c r="K532" s="364"/>
      <c r="L532" s="365"/>
    </row>
    <row r="533" spans="1:12" x14ac:dyDescent="0.2">
      <c r="A533" s="519"/>
      <c r="B533" s="49"/>
      <c r="C533" s="49">
        <v>560</v>
      </c>
      <c r="D533" s="49"/>
      <c r="E533" s="579"/>
      <c r="F533" s="311"/>
      <c r="G533" s="47"/>
      <c r="H533" s="311"/>
      <c r="I533" s="287" t="s">
        <v>303</v>
      </c>
      <c r="J533" s="76"/>
      <c r="K533" s="76"/>
      <c r="L533" s="218"/>
    </row>
    <row r="534" spans="1:12" x14ac:dyDescent="0.2">
      <c r="A534" s="519"/>
      <c r="B534" s="49"/>
      <c r="E534" s="579"/>
      <c r="F534" s="311"/>
      <c r="G534" s="47"/>
      <c r="H534" s="311"/>
      <c r="I534" s="28"/>
      <c r="J534" s="30"/>
      <c r="K534" s="30"/>
      <c r="L534" s="61"/>
    </row>
    <row r="535" spans="1:12" ht="22.5" x14ac:dyDescent="0.2">
      <c r="A535" s="519"/>
      <c r="B535" s="49"/>
      <c r="E535" s="581" t="s">
        <v>454</v>
      </c>
      <c r="F535" s="391"/>
      <c r="G535" s="334"/>
      <c r="H535" s="391"/>
      <c r="I535" s="404" t="s">
        <v>909</v>
      </c>
      <c r="J535" s="80"/>
      <c r="K535" s="80"/>
      <c r="L535" s="260"/>
    </row>
    <row r="536" spans="1:12" x14ac:dyDescent="0.2">
      <c r="A536" s="519"/>
      <c r="B536" s="49"/>
      <c r="E536" s="579"/>
      <c r="F536" s="311">
        <v>91</v>
      </c>
      <c r="G536" s="47"/>
      <c r="H536" s="311">
        <v>512</v>
      </c>
      <c r="I536" s="272" t="s">
        <v>21</v>
      </c>
      <c r="J536" s="59">
        <v>4000000</v>
      </c>
      <c r="K536" s="59"/>
      <c r="L536" s="59">
        <f>SUM(J536+K536)</f>
        <v>4000000</v>
      </c>
    </row>
    <row r="537" spans="1:12" x14ac:dyDescent="0.2">
      <c r="B537" s="49"/>
      <c r="D537" s="519"/>
      <c r="E537" s="579"/>
      <c r="F537" s="311"/>
      <c r="G537" s="55" t="s">
        <v>37</v>
      </c>
      <c r="H537" s="313"/>
      <c r="I537" s="220" t="s">
        <v>38</v>
      </c>
      <c r="J537" s="64">
        <f>SUM(J536)</f>
        <v>4000000</v>
      </c>
      <c r="K537" s="60"/>
      <c r="L537" s="59">
        <f>SUM(J537+K537)</f>
        <v>4000000</v>
      </c>
    </row>
    <row r="538" spans="1:12" x14ac:dyDescent="0.2">
      <c r="B538" s="49"/>
      <c r="D538" s="519"/>
      <c r="E538" s="579"/>
      <c r="F538" s="311"/>
      <c r="G538" s="47"/>
      <c r="H538" s="311"/>
      <c r="I538" s="229" t="s">
        <v>710</v>
      </c>
      <c r="J538" s="60">
        <f>SUM(J537:J537)</f>
        <v>4000000</v>
      </c>
      <c r="K538" s="60"/>
      <c r="L538" s="60">
        <f>SUM(L537:L537)</f>
        <v>4000000</v>
      </c>
    </row>
    <row r="539" spans="1:12" x14ac:dyDescent="0.2">
      <c r="A539" s="645"/>
      <c r="B539" s="646"/>
      <c r="C539" s="646"/>
      <c r="D539" s="625"/>
      <c r="E539" s="626"/>
      <c r="F539" s="442"/>
      <c r="G539" s="321"/>
      <c r="H539" s="647"/>
      <c r="I539" s="266"/>
      <c r="J539" s="30"/>
      <c r="K539" s="31"/>
      <c r="L539" s="61"/>
    </row>
    <row r="540" spans="1:12" x14ac:dyDescent="0.2">
      <c r="A540" s="49"/>
      <c r="B540" s="49"/>
      <c r="C540" s="49">
        <v>630</v>
      </c>
      <c r="D540" s="49"/>
      <c r="E540" s="579"/>
      <c r="F540" s="311"/>
      <c r="G540" s="47"/>
      <c r="H540" s="311"/>
      <c r="I540" s="287" t="s">
        <v>107</v>
      </c>
      <c r="J540" s="76"/>
      <c r="K540" s="76"/>
      <c r="L540" s="218"/>
    </row>
    <row r="541" spans="1:12" x14ac:dyDescent="0.2">
      <c r="B541" s="49"/>
      <c r="D541" s="519"/>
      <c r="E541" s="579"/>
      <c r="F541" s="311"/>
      <c r="G541" s="47"/>
      <c r="H541" s="311"/>
      <c r="I541" s="26"/>
      <c r="J541" s="30"/>
      <c r="K541" s="30"/>
      <c r="L541" s="61"/>
    </row>
    <row r="542" spans="1:12" x14ac:dyDescent="0.2">
      <c r="A542" s="519"/>
      <c r="B542" s="49"/>
      <c r="D542" s="519"/>
      <c r="E542" s="581" t="s">
        <v>454</v>
      </c>
      <c r="F542" s="391"/>
      <c r="G542" s="334"/>
      <c r="H542" s="391"/>
      <c r="I542" s="401" t="s">
        <v>910</v>
      </c>
      <c r="J542" s="261"/>
      <c r="K542" s="370"/>
      <c r="L542" s="57"/>
    </row>
    <row r="543" spans="1:12" x14ac:dyDescent="0.2">
      <c r="A543" s="519"/>
      <c r="B543" s="49"/>
      <c r="D543" s="519"/>
      <c r="E543" s="582"/>
      <c r="F543" s="441">
        <v>92</v>
      </c>
      <c r="G543" s="230"/>
      <c r="H543" s="441">
        <v>511</v>
      </c>
      <c r="I543" s="289" t="s">
        <v>20</v>
      </c>
      <c r="J543" s="64">
        <v>20000000</v>
      </c>
      <c r="K543" s="252"/>
      <c r="L543" s="59">
        <f>SUM(J543+K543)</f>
        <v>20000000</v>
      </c>
    </row>
    <row r="544" spans="1:12" x14ac:dyDescent="0.2">
      <c r="A544" s="519"/>
      <c r="B544" s="49"/>
      <c r="D544" s="519"/>
      <c r="E544" s="582"/>
      <c r="F544" s="441"/>
      <c r="G544" s="230"/>
      <c r="H544" s="441"/>
      <c r="I544" s="229" t="s">
        <v>710</v>
      </c>
      <c r="J544" s="56">
        <f>SUM(J543:J543)</f>
        <v>20000000</v>
      </c>
      <c r="K544" s="56"/>
      <c r="L544" s="56">
        <f>SUM(L543:L543)</f>
        <v>20000000</v>
      </c>
    </row>
    <row r="545" spans="1:16" x14ac:dyDescent="0.2">
      <c r="B545" s="519"/>
      <c r="D545" s="519"/>
      <c r="E545" s="582"/>
      <c r="F545" s="441"/>
      <c r="G545" s="254" t="s">
        <v>37</v>
      </c>
      <c r="H545" s="313"/>
      <c r="I545" s="289" t="s">
        <v>38</v>
      </c>
      <c r="J545" s="64">
        <f>SUM(J544-J546)</f>
        <v>7550000</v>
      </c>
      <c r="K545" s="59"/>
      <c r="L545" s="59">
        <f>SUM(J545+K545)</f>
        <v>7550000</v>
      </c>
    </row>
    <row r="546" spans="1:16" x14ac:dyDescent="0.2">
      <c r="B546" s="519"/>
      <c r="D546" s="519"/>
      <c r="E546" s="582"/>
      <c r="F546" s="441"/>
      <c r="G546" s="254" t="s">
        <v>113</v>
      </c>
      <c r="H546" s="313"/>
      <c r="I546" s="289" t="s">
        <v>280</v>
      </c>
      <c r="J546" s="64">
        <v>12450000</v>
      </c>
      <c r="K546" s="59"/>
      <c r="L546" s="59">
        <f>SUM(J546+K546)</f>
        <v>12450000</v>
      </c>
    </row>
    <row r="547" spans="1:16" x14ac:dyDescent="0.2">
      <c r="A547" s="677"/>
      <c r="B547" s="517"/>
      <c r="C547" s="185"/>
      <c r="D547" s="517"/>
      <c r="E547" s="579"/>
      <c r="F547" s="319"/>
      <c r="G547" s="79"/>
      <c r="H547" s="319"/>
      <c r="I547" s="700"/>
      <c r="J547" s="250"/>
      <c r="K547" s="250"/>
      <c r="L547" s="251"/>
    </row>
    <row r="548" spans="1:16" ht="33.75" x14ac:dyDescent="0.2">
      <c r="A548" s="677"/>
      <c r="B548" s="517"/>
      <c r="C548" s="185"/>
      <c r="D548" s="517"/>
      <c r="E548" s="581">
        <v>1102</v>
      </c>
      <c r="F548" s="440"/>
      <c r="G548" s="405"/>
      <c r="H548" s="462"/>
      <c r="I548" s="406" t="s">
        <v>904</v>
      </c>
      <c r="J548" s="364"/>
      <c r="K548" s="364"/>
      <c r="L548" s="365"/>
    </row>
    <row r="549" spans="1:16" x14ac:dyDescent="0.2">
      <c r="A549" s="677"/>
      <c r="B549" s="517"/>
      <c r="C549" s="185"/>
      <c r="D549" s="517"/>
      <c r="E549" s="579"/>
      <c r="F549" s="319">
        <v>93</v>
      </c>
      <c r="G549" s="79"/>
      <c r="H549" s="319">
        <v>511</v>
      </c>
      <c r="I549" s="275" t="s">
        <v>20</v>
      </c>
      <c r="J549" s="54">
        <v>25389007</v>
      </c>
      <c r="K549" s="199"/>
      <c r="L549" s="54">
        <f>SUM(J549:K549)</f>
        <v>25389007</v>
      </c>
    </row>
    <row r="550" spans="1:16" x14ac:dyDescent="0.2">
      <c r="A550" s="677"/>
      <c r="B550" s="517"/>
      <c r="C550" s="185"/>
      <c r="D550" s="517"/>
      <c r="E550" s="579"/>
      <c r="F550" s="319"/>
      <c r="G550" s="318" t="s">
        <v>37</v>
      </c>
      <c r="H550" s="463"/>
      <c r="I550" s="275" t="s">
        <v>38</v>
      </c>
      <c r="J550" s="54">
        <f>SUM(J552-J551)</f>
        <v>11171163.08</v>
      </c>
      <c r="K550" s="199"/>
      <c r="L550" s="54">
        <f>SUM(J550:K550)</f>
        <v>11171163.08</v>
      </c>
      <c r="N550" s="17"/>
      <c r="P550" s="928"/>
    </row>
    <row r="551" spans="1:16" x14ac:dyDescent="0.2">
      <c r="A551" s="677"/>
      <c r="B551" s="517"/>
      <c r="C551" s="185"/>
      <c r="D551" s="517"/>
      <c r="E551" s="579"/>
      <c r="F551" s="319"/>
      <c r="G551" s="318" t="s">
        <v>113</v>
      </c>
      <c r="H551" s="463"/>
      <c r="I551" s="275" t="s">
        <v>280</v>
      </c>
      <c r="J551" s="54">
        <v>14217843.92</v>
      </c>
      <c r="K551" s="199"/>
      <c r="L551" s="54">
        <f>SUM(J551:K551)</f>
        <v>14217843.92</v>
      </c>
      <c r="N551" s="17"/>
      <c r="P551" s="928"/>
    </row>
    <row r="552" spans="1:16" x14ac:dyDescent="0.2">
      <c r="A552" s="677"/>
      <c r="B552" s="517"/>
      <c r="C552" s="185"/>
      <c r="D552" s="517"/>
      <c r="E552" s="579"/>
      <c r="F552" s="319"/>
      <c r="G552" s="79"/>
      <c r="H552" s="319"/>
      <c r="I552" s="290" t="s">
        <v>710</v>
      </c>
      <c r="J552" s="199">
        <f>SUM(J549)</f>
        <v>25389007</v>
      </c>
      <c r="K552" s="199"/>
      <c r="L552" s="199">
        <f>SUM(J552:K552)</f>
        <v>25389007</v>
      </c>
      <c r="N552" s="17"/>
    </row>
    <row r="553" spans="1:16" x14ac:dyDescent="0.2">
      <c r="A553" s="367"/>
      <c r="B553" s="436"/>
      <c r="C553" s="436"/>
      <c r="D553" s="521"/>
      <c r="E553" s="582"/>
      <c r="F553" s="441"/>
      <c r="G553" s="230"/>
      <c r="H553" s="470"/>
      <c r="I553" s="18"/>
      <c r="J553" s="30"/>
      <c r="K553" s="30"/>
      <c r="L553" s="61"/>
      <c r="N553" s="17"/>
    </row>
    <row r="554" spans="1:16" s="960" customFormat="1" ht="67.5" x14ac:dyDescent="0.2">
      <c r="A554" s="950"/>
      <c r="B554" s="951"/>
      <c r="C554" s="952"/>
      <c r="D554" s="951"/>
      <c r="E554" s="953">
        <v>1102</v>
      </c>
      <c r="F554" s="954"/>
      <c r="G554" s="955"/>
      <c r="H554" s="956"/>
      <c r="I554" s="957" t="s">
        <v>1034</v>
      </c>
      <c r="J554" s="940"/>
      <c r="K554" s="940"/>
      <c r="L554" s="941"/>
      <c r="M554" s="958"/>
      <c r="N554" s="959"/>
      <c r="O554" s="958"/>
      <c r="P554" s="68"/>
    </row>
    <row r="555" spans="1:16" s="960" customFormat="1" x14ac:dyDescent="0.2">
      <c r="A555" s="950"/>
      <c r="B555" s="951"/>
      <c r="C555" s="952"/>
      <c r="D555" s="951"/>
      <c r="E555" s="961"/>
      <c r="F555" s="962" t="s">
        <v>1057</v>
      </c>
      <c r="G555" s="963"/>
      <c r="H555" s="962">
        <v>511</v>
      </c>
      <c r="I555" s="964" t="s">
        <v>20</v>
      </c>
      <c r="J555" s="939">
        <v>28303721.93</v>
      </c>
      <c r="K555" s="947"/>
      <c r="L555" s="939">
        <f>SUM(J555:K555)</f>
        <v>28303721.93</v>
      </c>
      <c r="M555" s="958"/>
      <c r="N555" s="959"/>
      <c r="O555" s="958"/>
      <c r="P555" s="68"/>
    </row>
    <row r="556" spans="1:16" s="960" customFormat="1" x14ac:dyDescent="0.2">
      <c r="A556" s="950"/>
      <c r="B556" s="951"/>
      <c r="C556" s="952"/>
      <c r="D556" s="951"/>
      <c r="E556" s="961"/>
      <c r="F556" s="962"/>
      <c r="G556" s="965" t="s">
        <v>37</v>
      </c>
      <c r="H556" s="966"/>
      <c r="I556" s="964" t="s">
        <v>38</v>
      </c>
      <c r="J556" s="939">
        <f>J558-J557</f>
        <v>8774153.8000000007</v>
      </c>
      <c r="K556" s="947"/>
      <c r="L556" s="939">
        <f>SUM(J556:K556)</f>
        <v>8774153.8000000007</v>
      </c>
      <c r="M556" s="958"/>
      <c r="N556" s="958"/>
      <c r="O556" s="958"/>
      <c r="P556" s="967"/>
    </row>
    <row r="557" spans="1:16" s="960" customFormat="1" x14ac:dyDescent="0.2">
      <c r="A557" s="950"/>
      <c r="B557" s="951"/>
      <c r="C557" s="952"/>
      <c r="D557" s="951"/>
      <c r="E557" s="961"/>
      <c r="F557" s="962"/>
      <c r="G557" s="965" t="s">
        <v>113</v>
      </c>
      <c r="H557" s="966"/>
      <c r="I557" s="964" t="s">
        <v>280</v>
      </c>
      <c r="J557" s="939">
        <v>19529568.129999999</v>
      </c>
      <c r="K557" s="947"/>
      <c r="L557" s="939">
        <f>SUM(J557:K557)</f>
        <v>19529568.129999999</v>
      </c>
      <c r="M557" s="958"/>
      <c r="N557" s="958"/>
      <c r="O557" s="958"/>
      <c r="P557" s="967"/>
    </row>
    <row r="558" spans="1:16" s="960" customFormat="1" x14ac:dyDescent="0.2">
      <c r="A558" s="950"/>
      <c r="B558" s="951"/>
      <c r="C558" s="952"/>
      <c r="D558" s="951"/>
      <c r="E558" s="961"/>
      <c r="F558" s="962"/>
      <c r="G558" s="963"/>
      <c r="H558" s="962"/>
      <c r="I558" s="968" t="s">
        <v>710</v>
      </c>
      <c r="J558" s="947">
        <v>28303721.93</v>
      </c>
      <c r="K558" s="947"/>
      <c r="L558" s="947">
        <f>SUM(J558:K558)</f>
        <v>28303721.93</v>
      </c>
      <c r="M558" s="958"/>
      <c r="N558" s="958"/>
      <c r="O558" s="958"/>
      <c r="P558" s="68"/>
    </row>
    <row r="559" spans="1:16" x14ac:dyDescent="0.2">
      <c r="B559" s="49"/>
      <c r="C559" s="49">
        <v>620</v>
      </c>
      <c r="D559" s="520"/>
      <c r="E559" s="579"/>
      <c r="F559" s="311"/>
      <c r="G559" s="47"/>
      <c r="H559" s="313"/>
      <c r="I559" s="287" t="s">
        <v>105</v>
      </c>
      <c r="J559" s="326"/>
      <c r="K559" s="326"/>
      <c r="L559" s="57"/>
      <c r="N559" s="17"/>
    </row>
    <row r="560" spans="1:16" x14ac:dyDescent="0.2">
      <c r="B560" s="49"/>
      <c r="D560" s="520"/>
      <c r="E560" s="579"/>
      <c r="F560" s="311"/>
      <c r="G560" s="47"/>
      <c r="H560" s="313"/>
      <c r="I560" s="233"/>
      <c r="J560" s="30"/>
      <c r="K560" s="30"/>
      <c r="L560" s="61"/>
    </row>
    <row r="561" spans="1:16" ht="22.5" x14ac:dyDescent="0.2">
      <c r="B561" s="49"/>
      <c r="D561" s="520"/>
      <c r="E561" s="581" t="s">
        <v>454</v>
      </c>
      <c r="F561" s="391"/>
      <c r="G561" s="334"/>
      <c r="H561" s="393"/>
      <c r="I561" s="336" t="s">
        <v>905</v>
      </c>
      <c r="J561" s="256"/>
      <c r="K561" s="256"/>
      <c r="L561" s="160"/>
    </row>
    <row r="562" spans="1:16" s="190" customFormat="1" x14ac:dyDescent="0.2">
      <c r="A562" s="711"/>
      <c r="B562" s="646"/>
      <c r="C562" s="646"/>
      <c r="D562" s="890"/>
      <c r="E562" s="626"/>
      <c r="F562" s="882" t="s">
        <v>1000</v>
      </c>
      <c r="G562" s="883"/>
      <c r="H562" s="884" t="s">
        <v>46</v>
      </c>
      <c r="I562" s="892" t="s">
        <v>10</v>
      </c>
      <c r="J562" s="887">
        <v>200000</v>
      </c>
      <c r="K562" s="887"/>
      <c r="L562" s="887">
        <f>SUM(J562:K562)</f>
        <v>200000</v>
      </c>
      <c r="M562" s="188"/>
      <c r="N562" s="188"/>
      <c r="O562" s="188"/>
      <c r="P562" s="927"/>
    </row>
    <row r="563" spans="1:16" x14ac:dyDescent="0.2">
      <c r="B563" s="49"/>
      <c r="D563" s="520"/>
      <c r="E563" s="579"/>
      <c r="F563" s="311">
        <v>94</v>
      </c>
      <c r="G563" s="47"/>
      <c r="H563" s="312" t="s">
        <v>270</v>
      </c>
      <c r="I563" s="220" t="s">
        <v>20</v>
      </c>
      <c r="J563" s="59">
        <v>3275000</v>
      </c>
      <c r="K563" s="59"/>
      <c r="L563" s="59">
        <f>SUM(J563:K563)</f>
        <v>3275000</v>
      </c>
    </row>
    <row r="564" spans="1:16" x14ac:dyDescent="0.2">
      <c r="B564" s="49"/>
      <c r="D564" s="520"/>
      <c r="E564" s="579"/>
      <c r="F564" s="311"/>
      <c r="G564" s="55" t="s">
        <v>37</v>
      </c>
      <c r="H564" s="313"/>
      <c r="I564" s="220" t="s">
        <v>38</v>
      </c>
      <c r="J564" s="59">
        <f>SUM(J566-J565)</f>
        <v>1975000</v>
      </c>
      <c r="K564" s="59"/>
      <c r="L564" s="59">
        <f t="shared" ref="L564:L566" si="36">SUM(J564:K564)</f>
        <v>1975000</v>
      </c>
    </row>
    <row r="565" spans="1:16" x14ac:dyDescent="0.2">
      <c r="B565" s="49"/>
      <c r="D565" s="520"/>
      <c r="E565" s="579"/>
      <c r="F565" s="311"/>
      <c r="G565" s="318" t="s">
        <v>113</v>
      </c>
      <c r="H565" s="463"/>
      <c r="I565" s="275" t="s">
        <v>280</v>
      </c>
      <c r="J565" s="54">
        <v>1500000</v>
      </c>
      <c r="K565" s="60"/>
      <c r="L565" s="59">
        <f t="shared" si="36"/>
        <v>1500000</v>
      </c>
    </row>
    <row r="566" spans="1:16" x14ac:dyDescent="0.2">
      <c r="B566" s="49"/>
      <c r="D566" s="520"/>
      <c r="E566" s="579"/>
      <c r="F566" s="311"/>
      <c r="G566" s="47"/>
      <c r="H566" s="312"/>
      <c r="I566" s="229" t="s">
        <v>710</v>
      </c>
      <c r="J566" s="60">
        <f>SUM(J562:J563)</f>
        <v>3475000</v>
      </c>
      <c r="K566" s="60"/>
      <c r="L566" s="60">
        <f t="shared" si="36"/>
        <v>3475000</v>
      </c>
    </row>
    <row r="567" spans="1:16" x14ac:dyDescent="0.2">
      <c r="B567" s="49"/>
      <c r="D567" s="520"/>
      <c r="E567" s="579"/>
      <c r="F567" s="311"/>
      <c r="G567" s="47"/>
      <c r="H567" s="313"/>
      <c r="I567" s="233"/>
      <c r="J567" s="30"/>
      <c r="K567" s="30"/>
      <c r="L567" s="61"/>
    </row>
    <row r="568" spans="1:16" ht="22.5" x14ac:dyDescent="0.2">
      <c r="B568" s="49"/>
      <c r="D568" s="520"/>
      <c r="E568" s="581" t="s">
        <v>454</v>
      </c>
      <c r="F568" s="391"/>
      <c r="G568" s="334"/>
      <c r="H568" s="393"/>
      <c r="I568" s="336" t="s">
        <v>906</v>
      </c>
      <c r="J568" s="256"/>
      <c r="K568" s="256"/>
      <c r="L568" s="160"/>
    </row>
    <row r="569" spans="1:16" x14ac:dyDescent="0.2">
      <c r="B569" s="49"/>
      <c r="D569" s="520"/>
      <c r="E569" s="579"/>
      <c r="F569" s="311">
        <v>95</v>
      </c>
      <c r="G569" s="47"/>
      <c r="H569" s="312" t="s">
        <v>270</v>
      </c>
      <c r="I569" s="220" t="s">
        <v>20</v>
      </c>
      <c r="J569" s="59">
        <v>2380000</v>
      </c>
      <c r="K569" s="59"/>
      <c r="L569" s="59">
        <f>SUM(J569:K569)</f>
        <v>2380000</v>
      </c>
    </row>
    <row r="570" spans="1:16" x14ac:dyDescent="0.2">
      <c r="B570" s="49"/>
      <c r="D570" s="520"/>
      <c r="E570" s="579"/>
      <c r="F570" s="311"/>
      <c r="G570" s="55" t="s">
        <v>37</v>
      </c>
      <c r="H570" s="313"/>
      <c r="I570" s="220" t="s">
        <v>38</v>
      </c>
      <c r="J570" s="59">
        <f>SUM(J569)</f>
        <v>2380000</v>
      </c>
      <c r="K570" s="59"/>
      <c r="L570" s="59">
        <f>SUM(J570:K570)</f>
        <v>2380000</v>
      </c>
    </row>
    <row r="571" spans="1:16" x14ac:dyDescent="0.2">
      <c r="B571" s="49"/>
      <c r="D571" s="520"/>
      <c r="E571" s="579"/>
      <c r="F571" s="311"/>
      <c r="G571" s="47"/>
      <c r="H571" s="312"/>
      <c r="I571" s="229" t="s">
        <v>710</v>
      </c>
      <c r="J571" s="60">
        <f>SUM(J569)</f>
        <v>2380000</v>
      </c>
      <c r="K571" s="60"/>
      <c r="L571" s="60">
        <f>SUM(J571:K571)</f>
        <v>2380000</v>
      </c>
    </row>
    <row r="572" spans="1:16" x14ac:dyDescent="0.2">
      <c r="B572" s="49"/>
      <c r="D572" s="520"/>
      <c r="E572" s="579"/>
      <c r="F572" s="311"/>
      <c r="G572" s="47"/>
      <c r="H572" s="313"/>
      <c r="I572" s="233"/>
      <c r="J572" s="30"/>
      <c r="K572" s="30"/>
      <c r="L572" s="61"/>
    </row>
    <row r="573" spans="1:16" ht="22.5" x14ac:dyDescent="0.2">
      <c r="B573" s="49"/>
      <c r="D573" s="520"/>
      <c r="E573" s="581" t="s">
        <v>454</v>
      </c>
      <c r="F573" s="391"/>
      <c r="G573" s="334"/>
      <c r="H573" s="393"/>
      <c r="I573" s="336" t="s">
        <v>907</v>
      </c>
      <c r="J573" s="256"/>
      <c r="K573" s="256"/>
      <c r="L573" s="160"/>
    </row>
    <row r="574" spans="1:16" x14ac:dyDescent="0.2">
      <c r="B574" s="49"/>
      <c r="D574" s="520"/>
      <c r="E574" s="579"/>
      <c r="F574" s="311">
        <v>96</v>
      </c>
      <c r="G574" s="47"/>
      <c r="H574" s="312" t="s">
        <v>270</v>
      </c>
      <c r="I574" s="220" t="s">
        <v>20</v>
      </c>
      <c r="J574" s="59">
        <v>748000</v>
      </c>
      <c r="K574" s="59"/>
      <c r="L574" s="59">
        <f>SUM(J574:K574)</f>
        <v>748000</v>
      </c>
    </row>
    <row r="575" spans="1:16" x14ac:dyDescent="0.2">
      <c r="B575" s="49"/>
      <c r="D575" s="520"/>
      <c r="E575" s="579"/>
      <c r="F575" s="311"/>
      <c r="G575" s="55" t="s">
        <v>37</v>
      </c>
      <c r="H575" s="313"/>
      <c r="I575" s="220" t="s">
        <v>38</v>
      </c>
      <c r="J575" s="59">
        <f>SUM(J574)</f>
        <v>748000</v>
      </c>
      <c r="K575" s="59"/>
      <c r="L575" s="59">
        <f>SUM(J575:K575)</f>
        <v>748000</v>
      </c>
    </row>
    <row r="576" spans="1:16" x14ac:dyDescent="0.2">
      <c r="B576" s="49"/>
      <c r="D576" s="520"/>
      <c r="E576" s="579"/>
      <c r="F576" s="311"/>
      <c r="G576" s="47"/>
      <c r="H576" s="312"/>
      <c r="I576" s="229" t="s">
        <v>710</v>
      </c>
      <c r="J576" s="60">
        <f>SUM(J574)</f>
        <v>748000</v>
      </c>
      <c r="K576" s="60"/>
      <c r="L576" s="60">
        <f>SUM(J576:K576)</f>
        <v>748000</v>
      </c>
    </row>
    <row r="577" spans="1:16" x14ac:dyDescent="0.2">
      <c r="B577" s="49"/>
      <c r="D577" s="520"/>
      <c r="E577" s="579"/>
      <c r="F577" s="311"/>
      <c r="G577" s="47"/>
      <c r="H577" s="313"/>
      <c r="I577" s="233"/>
      <c r="J577" s="30"/>
    </row>
    <row r="578" spans="1:16" ht="22.5" x14ac:dyDescent="0.2">
      <c r="B578" s="49"/>
      <c r="D578" s="520"/>
      <c r="E578" s="581" t="s">
        <v>454</v>
      </c>
      <c r="F578" s="391"/>
      <c r="G578" s="334"/>
      <c r="H578" s="393"/>
      <c r="I578" s="336" t="s">
        <v>911</v>
      </c>
      <c r="J578" s="256"/>
      <c r="K578" s="256"/>
      <c r="L578" s="160"/>
    </row>
    <row r="579" spans="1:16" s="190" customFormat="1" x14ac:dyDescent="0.2">
      <c r="A579" s="711"/>
      <c r="B579" s="646"/>
      <c r="C579" s="646"/>
      <c r="D579" s="890"/>
      <c r="E579" s="626"/>
      <c r="F579" s="882" t="s">
        <v>999</v>
      </c>
      <c r="G579" s="883"/>
      <c r="H579" s="884" t="s">
        <v>46</v>
      </c>
      <c r="I579" s="892" t="s">
        <v>10</v>
      </c>
      <c r="J579" s="887">
        <v>200000</v>
      </c>
      <c r="K579" s="887"/>
      <c r="L579" s="887">
        <f>SUM(J579:K579)</f>
        <v>200000</v>
      </c>
      <c r="M579" s="188"/>
      <c r="N579" s="929"/>
      <c r="O579" s="188"/>
      <c r="P579" s="927"/>
    </row>
    <row r="580" spans="1:16" x14ac:dyDescent="0.2">
      <c r="B580" s="49"/>
      <c r="D580" s="520"/>
      <c r="E580" s="579"/>
      <c r="F580" s="311">
        <v>97</v>
      </c>
      <c r="G580" s="47"/>
      <c r="H580" s="312" t="s">
        <v>270</v>
      </c>
      <c r="I580" s="220" t="s">
        <v>20</v>
      </c>
      <c r="J580" s="59">
        <v>2260000</v>
      </c>
      <c r="K580" s="59"/>
      <c r="L580" s="59">
        <f>SUM(J580:K580)</f>
        <v>2260000</v>
      </c>
      <c r="N580" s="942"/>
    </row>
    <row r="581" spans="1:16" x14ac:dyDescent="0.2">
      <c r="B581" s="49"/>
      <c r="D581" s="520"/>
      <c r="E581" s="579"/>
      <c r="F581" s="311"/>
      <c r="G581" s="55" t="s">
        <v>37</v>
      </c>
      <c r="H581" s="313"/>
      <c r="I581" s="220" t="s">
        <v>38</v>
      </c>
      <c r="J581" s="59">
        <f>SUM(J579:J580)</f>
        <v>2460000</v>
      </c>
      <c r="K581" s="59"/>
      <c r="L581" s="59">
        <f>SUM(J581:K581)</f>
        <v>2460000</v>
      </c>
    </row>
    <row r="582" spans="1:16" x14ac:dyDescent="0.2">
      <c r="B582" s="49"/>
      <c r="D582" s="520"/>
      <c r="E582" s="579"/>
      <c r="F582" s="311"/>
      <c r="G582" s="47"/>
      <c r="H582" s="312"/>
      <c r="I582" s="229" t="s">
        <v>710</v>
      </c>
      <c r="J582" s="60">
        <f>SUM(J581)</f>
        <v>2460000</v>
      </c>
      <c r="K582" s="60"/>
      <c r="L582" s="60">
        <f>SUM(L581)</f>
        <v>2460000</v>
      </c>
    </row>
    <row r="583" spans="1:16" x14ac:dyDescent="0.2">
      <c r="B583" s="49"/>
      <c r="D583" s="520"/>
      <c r="E583" s="579"/>
      <c r="F583" s="311"/>
      <c r="G583" s="47"/>
      <c r="H583" s="312"/>
      <c r="I583" s="704"/>
      <c r="J583" s="388"/>
      <c r="K583" s="705"/>
      <c r="L583" s="388"/>
    </row>
    <row r="584" spans="1:16" ht="22.5" x14ac:dyDescent="0.2">
      <c r="B584" s="49"/>
      <c r="D584" s="520"/>
      <c r="E584" s="581" t="s">
        <v>454</v>
      </c>
      <c r="F584" s="391"/>
      <c r="G584" s="334"/>
      <c r="H584" s="393"/>
      <c r="I584" s="336" t="s">
        <v>912</v>
      </c>
      <c r="J584" s="225"/>
      <c r="K584" s="225"/>
      <c r="L584" s="226"/>
    </row>
    <row r="585" spans="1:16" x14ac:dyDescent="0.2">
      <c r="B585" s="49"/>
      <c r="D585" s="520"/>
      <c r="E585" s="579"/>
      <c r="F585" s="311">
        <v>98</v>
      </c>
      <c r="G585" s="47"/>
      <c r="H585" s="312" t="s">
        <v>270</v>
      </c>
      <c r="I585" s="220" t="s">
        <v>20</v>
      </c>
      <c r="J585" s="59">
        <v>500000</v>
      </c>
      <c r="K585" s="59"/>
      <c r="L585" s="59">
        <f>SUM(J585:K585)</f>
        <v>500000</v>
      </c>
    </row>
    <row r="586" spans="1:16" x14ac:dyDescent="0.2">
      <c r="B586" s="49"/>
      <c r="D586" s="520"/>
      <c r="E586" s="579"/>
      <c r="F586" s="311"/>
      <c r="G586" s="55" t="s">
        <v>37</v>
      </c>
      <c r="H586" s="313"/>
      <c r="I586" s="220" t="s">
        <v>38</v>
      </c>
      <c r="J586" s="60">
        <f>SUM(J585:J585)</f>
        <v>500000</v>
      </c>
      <c r="K586" s="60"/>
      <c r="L586" s="60">
        <f>SUM(J585:K585)</f>
        <v>500000</v>
      </c>
    </row>
    <row r="587" spans="1:16" x14ac:dyDescent="0.2">
      <c r="B587" s="49"/>
      <c r="D587" s="520"/>
      <c r="E587" s="579"/>
      <c r="F587" s="311"/>
      <c r="G587" s="47"/>
      <c r="H587" s="312"/>
      <c r="I587" s="229" t="s">
        <v>710</v>
      </c>
      <c r="J587" s="60">
        <f>SUM(J586)</f>
        <v>500000</v>
      </c>
      <c r="K587" s="60"/>
      <c r="L587" s="60">
        <f>SUM(L586)</f>
        <v>500000</v>
      </c>
    </row>
    <row r="588" spans="1:16" x14ac:dyDescent="0.2">
      <c r="B588" s="49"/>
      <c r="D588" s="520"/>
      <c r="E588" s="579"/>
      <c r="F588" s="311"/>
      <c r="G588" s="47"/>
      <c r="H588" s="312"/>
      <c r="I588" s="18"/>
      <c r="J588" s="30"/>
      <c r="K588" s="30"/>
      <c r="L588" s="61"/>
    </row>
    <row r="589" spans="1:16" ht="22.5" x14ac:dyDescent="0.2">
      <c r="B589" s="49"/>
      <c r="D589" s="520"/>
      <c r="E589" s="581" t="s">
        <v>454</v>
      </c>
      <c r="F589" s="391"/>
      <c r="G589" s="334"/>
      <c r="H589" s="464"/>
      <c r="I589" s="844" t="s">
        <v>913</v>
      </c>
      <c r="J589" s="371"/>
      <c r="K589" s="371"/>
      <c r="L589" s="372"/>
    </row>
    <row r="590" spans="1:16" x14ac:dyDescent="0.2">
      <c r="B590" s="49"/>
      <c r="D590" s="520"/>
      <c r="E590" s="579"/>
      <c r="F590" s="311">
        <v>99</v>
      </c>
      <c r="G590" s="47"/>
      <c r="H590" s="465" t="s">
        <v>270</v>
      </c>
      <c r="I590" s="277" t="s">
        <v>20</v>
      </c>
      <c r="J590" s="64">
        <v>11550000</v>
      </c>
      <c r="K590" s="64"/>
      <c r="L590" s="64">
        <f>SUM(J590:K590)</f>
        <v>11550000</v>
      </c>
    </row>
    <row r="591" spans="1:16" x14ac:dyDescent="0.2">
      <c r="B591" s="49"/>
      <c r="D591" s="520"/>
      <c r="E591" s="579"/>
      <c r="F591" s="311"/>
      <c r="G591" s="257" t="s">
        <v>37</v>
      </c>
      <c r="H591" s="313"/>
      <c r="I591" s="277" t="s">
        <v>38</v>
      </c>
      <c r="J591" s="64">
        <f>SUM(J590:J590)</f>
        <v>11550000</v>
      </c>
      <c r="K591" s="64"/>
      <c r="L591" s="64">
        <f>SUM(J590:K590)</f>
        <v>11550000</v>
      </c>
    </row>
    <row r="592" spans="1:16" x14ac:dyDescent="0.2">
      <c r="B592" s="49"/>
      <c r="D592" s="520"/>
      <c r="E592" s="579"/>
      <c r="F592" s="311"/>
      <c r="G592" s="47"/>
      <c r="H592" s="466"/>
      <c r="I592" s="291" t="s">
        <v>710</v>
      </c>
      <c r="J592" s="56">
        <f>SUM(J591)</f>
        <v>11550000</v>
      </c>
      <c r="K592" s="56"/>
      <c r="L592" s="258">
        <f>SUM(J591:K591)</f>
        <v>11550000</v>
      </c>
    </row>
    <row r="593" spans="1:16" x14ac:dyDescent="0.2">
      <c r="B593" s="49"/>
      <c r="D593" s="520"/>
      <c r="E593" s="579"/>
      <c r="F593" s="311"/>
      <c r="G593" s="47"/>
      <c r="H593" s="466"/>
      <c r="I593" s="706"/>
      <c r="J593" s="224"/>
      <c r="K593" s="224"/>
      <c r="L593" s="707"/>
    </row>
    <row r="594" spans="1:16" ht="33.75" x14ac:dyDescent="0.2">
      <c r="B594" s="49"/>
      <c r="D594" s="520"/>
      <c r="E594" s="581" t="s">
        <v>454</v>
      </c>
      <c r="F594" s="391"/>
      <c r="G594" s="334"/>
      <c r="H594" s="464"/>
      <c r="I594" s="844" t="s">
        <v>914</v>
      </c>
      <c r="J594" s="371"/>
      <c r="K594" s="371"/>
      <c r="L594" s="372"/>
    </row>
    <row r="595" spans="1:16" x14ac:dyDescent="0.2">
      <c r="B595" s="49"/>
      <c r="D595" s="520"/>
      <c r="E595" s="579"/>
      <c r="F595" s="311">
        <v>100</v>
      </c>
      <c r="G595" s="47"/>
      <c r="H595" s="465" t="s">
        <v>270</v>
      </c>
      <c r="I595" s="277" t="s">
        <v>20</v>
      </c>
      <c r="J595" s="64">
        <v>1000000</v>
      </c>
      <c r="K595" s="64"/>
      <c r="L595" s="64">
        <f>SUM(J595:K595)</f>
        <v>1000000</v>
      </c>
    </row>
    <row r="596" spans="1:16" x14ac:dyDescent="0.2">
      <c r="B596" s="49"/>
      <c r="D596" s="520"/>
      <c r="E596" s="579"/>
      <c r="F596" s="311"/>
      <c r="G596" s="257" t="s">
        <v>37</v>
      </c>
      <c r="H596" s="313"/>
      <c r="I596" s="277" t="s">
        <v>38</v>
      </c>
      <c r="J596" s="64">
        <f>SUM(J595:J595)</f>
        <v>1000000</v>
      </c>
      <c r="K596" s="64"/>
      <c r="L596" s="64">
        <f>SUM(J595:K595)</f>
        <v>1000000</v>
      </c>
    </row>
    <row r="597" spans="1:16" x14ac:dyDescent="0.2">
      <c r="B597" s="49"/>
      <c r="D597" s="520"/>
      <c r="E597" s="579"/>
      <c r="F597" s="311"/>
      <c r="G597" s="47"/>
      <c r="H597" s="466"/>
      <c r="I597" s="291" t="s">
        <v>710</v>
      </c>
      <c r="J597" s="56">
        <f>SUM(J596)</f>
        <v>1000000</v>
      </c>
      <c r="K597" s="56"/>
      <c r="L597" s="258">
        <f>SUM(J596:K596)</f>
        <v>1000000</v>
      </c>
    </row>
    <row r="598" spans="1:16" x14ac:dyDescent="0.2">
      <c r="B598" s="49"/>
      <c r="D598" s="519"/>
      <c r="E598" s="579"/>
      <c r="F598" s="311"/>
      <c r="G598" s="47"/>
      <c r="H598" s="466"/>
      <c r="I598" s="706"/>
      <c r="J598" s="224"/>
      <c r="K598" s="224"/>
      <c r="L598" s="707"/>
    </row>
    <row r="599" spans="1:16" ht="22.5" x14ac:dyDescent="0.2">
      <c r="B599" s="49"/>
      <c r="D599" s="519"/>
      <c r="E599" s="581" t="s">
        <v>454</v>
      </c>
      <c r="F599" s="391"/>
      <c r="G599" s="334"/>
      <c r="H599" s="393"/>
      <c r="I599" s="339" t="s">
        <v>915</v>
      </c>
      <c r="J599" s="259"/>
      <c r="K599" s="80"/>
      <c r="L599" s="260"/>
    </row>
    <row r="600" spans="1:16" x14ac:dyDescent="0.2">
      <c r="B600" s="49"/>
      <c r="D600" s="519"/>
      <c r="E600" s="579"/>
      <c r="F600" s="311">
        <v>101</v>
      </c>
      <c r="G600" s="47"/>
      <c r="H600" s="312" t="s">
        <v>270</v>
      </c>
      <c r="I600" s="220" t="s">
        <v>20</v>
      </c>
      <c r="J600" s="64">
        <v>100000</v>
      </c>
      <c r="K600" s="60"/>
      <c r="L600" s="59">
        <f>SUM(J600:K600)</f>
        <v>100000</v>
      </c>
    </row>
    <row r="601" spans="1:16" x14ac:dyDescent="0.2">
      <c r="B601" s="49"/>
      <c r="D601" s="519"/>
      <c r="E601" s="579"/>
      <c r="F601" s="311"/>
      <c r="G601" s="55" t="s">
        <v>37</v>
      </c>
      <c r="H601" s="313"/>
      <c r="I601" s="220" t="s">
        <v>38</v>
      </c>
      <c r="J601" s="64">
        <f>SUM(J600:J600)</f>
        <v>100000</v>
      </c>
      <c r="K601" s="60"/>
      <c r="L601" s="59">
        <f>SUM(J600:K600)</f>
        <v>100000</v>
      </c>
    </row>
    <row r="602" spans="1:16" x14ac:dyDescent="0.2">
      <c r="B602" s="49"/>
      <c r="D602" s="519"/>
      <c r="E602" s="579"/>
      <c r="F602" s="311"/>
      <c r="G602" s="47"/>
      <c r="H602" s="312"/>
      <c r="I602" s="229" t="s">
        <v>710</v>
      </c>
      <c r="J602" s="56">
        <f>SUM(J601)</f>
        <v>100000</v>
      </c>
      <c r="K602" s="60"/>
      <c r="L602" s="60">
        <f>SUM(L601)</f>
        <v>100000</v>
      </c>
    </row>
    <row r="603" spans="1:16" x14ac:dyDescent="0.2">
      <c r="B603" s="49"/>
      <c r="D603" s="519"/>
      <c r="E603" s="579"/>
      <c r="F603" s="311"/>
      <c r="G603" s="47"/>
      <c r="H603" s="312"/>
      <c r="I603" s="26"/>
      <c r="J603" s="224"/>
      <c r="K603" s="30"/>
      <c r="L603" s="61"/>
    </row>
    <row r="604" spans="1:16" ht="22.5" x14ac:dyDescent="0.2">
      <c r="B604" s="49"/>
      <c r="D604" s="519"/>
      <c r="E604" s="581" t="s">
        <v>454</v>
      </c>
      <c r="F604" s="391"/>
      <c r="G604" s="334"/>
      <c r="H604" s="393"/>
      <c r="I604" s="401" t="s">
        <v>949</v>
      </c>
      <c r="J604" s="261"/>
      <c r="K604" s="326"/>
      <c r="L604" s="57"/>
    </row>
    <row r="605" spans="1:16" s="190" customFormat="1" x14ac:dyDescent="0.2">
      <c r="A605" s="711"/>
      <c r="B605" s="646"/>
      <c r="C605" s="646"/>
      <c r="D605" s="645"/>
      <c r="E605" s="626"/>
      <c r="F605" s="882" t="s">
        <v>998</v>
      </c>
      <c r="G605" s="883"/>
      <c r="H605" s="884" t="s">
        <v>46</v>
      </c>
      <c r="I605" s="892" t="s">
        <v>10</v>
      </c>
      <c r="J605" s="887">
        <v>200000</v>
      </c>
      <c r="K605" s="887"/>
      <c r="L605" s="887">
        <f>SUM(J605:K605)</f>
        <v>200000</v>
      </c>
      <c r="M605" s="188"/>
      <c r="N605" s="929"/>
      <c r="O605" s="188"/>
      <c r="P605" s="927"/>
    </row>
    <row r="606" spans="1:16" x14ac:dyDescent="0.2">
      <c r="B606" s="49"/>
      <c r="D606" s="519"/>
      <c r="E606" s="579"/>
      <c r="F606" s="311">
        <v>102</v>
      </c>
      <c r="G606" s="47"/>
      <c r="H606" s="312" t="s">
        <v>270</v>
      </c>
      <c r="I606" s="220" t="s">
        <v>20</v>
      </c>
      <c r="J606" s="64">
        <v>22060000</v>
      </c>
      <c r="K606" s="60"/>
      <c r="L606" s="59">
        <f>SUM(J606:K606)</f>
        <v>22060000</v>
      </c>
    </row>
    <row r="607" spans="1:16" x14ac:dyDescent="0.2">
      <c r="B607" s="49"/>
      <c r="D607" s="519"/>
      <c r="E607" s="579"/>
      <c r="F607" s="311"/>
      <c r="G607" s="55" t="s">
        <v>37</v>
      </c>
      <c r="H607" s="313"/>
      <c r="I607" s="220" t="s">
        <v>38</v>
      </c>
      <c r="J607" s="64">
        <f>SUM(J605:J606)</f>
        <v>22260000</v>
      </c>
      <c r="K607" s="60"/>
      <c r="L607" s="59">
        <f>SUM(J607:K607)</f>
        <v>22260000</v>
      </c>
    </row>
    <row r="608" spans="1:16" x14ac:dyDescent="0.2">
      <c r="B608" s="49"/>
      <c r="D608" s="519"/>
      <c r="E608" s="579"/>
      <c r="F608" s="311"/>
      <c r="G608" s="47"/>
      <c r="H608" s="312"/>
      <c r="I608" s="229" t="s">
        <v>710</v>
      </c>
      <c r="J608" s="56">
        <f>SUM(J607)</f>
        <v>22260000</v>
      </c>
      <c r="K608" s="60"/>
      <c r="L608" s="60">
        <f>SUM(L607)</f>
        <v>22260000</v>
      </c>
    </row>
    <row r="609" spans="1:16" x14ac:dyDescent="0.2">
      <c r="B609" s="49"/>
      <c r="D609" s="519"/>
      <c r="E609" s="579"/>
      <c r="F609" s="311"/>
      <c r="G609" s="47"/>
      <c r="H609" s="312"/>
      <c r="I609" s="26"/>
      <c r="J609" s="224"/>
      <c r="K609" s="30"/>
      <c r="L609" s="61"/>
    </row>
    <row r="610" spans="1:16" ht="22.5" x14ac:dyDescent="0.2">
      <c r="B610" s="49"/>
      <c r="D610" s="519"/>
      <c r="E610" s="581" t="s">
        <v>454</v>
      </c>
      <c r="F610" s="391"/>
      <c r="G610" s="334"/>
      <c r="H610" s="393"/>
      <c r="I610" s="401" t="s">
        <v>916</v>
      </c>
      <c r="J610" s="261"/>
      <c r="K610" s="326"/>
      <c r="L610" s="57"/>
    </row>
    <row r="611" spans="1:16" x14ac:dyDescent="0.2">
      <c r="B611" s="49"/>
      <c r="D611" s="519"/>
      <c r="E611" s="579"/>
      <c r="F611" s="311">
        <v>103</v>
      </c>
      <c r="G611" s="47"/>
      <c r="H611" s="312" t="s">
        <v>270</v>
      </c>
      <c r="I611" s="220" t="s">
        <v>20</v>
      </c>
      <c r="J611" s="64">
        <v>1950000</v>
      </c>
      <c r="K611" s="59"/>
      <c r="L611" s="59">
        <f>SUM(J611:K611)</f>
        <v>1950000</v>
      </c>
    </row>
    <row r="612" spans="1:16" x14ac:dyDescent="0.2">
      <c r="B612" s="49"/>
      <c r="D612" s="519"/>
      <c r="E612" s="579"/>
      <c r="F612" s="311"/>
      <c r="G612" s="55" t="s">
        <v>37</v>
      </c>
      <c r="H612" s="313"/>
      <c r="I612" s="220" t="s">
        <v>38</v>
      </c>
      <c r="J612" s="64">
        <f>SUM(J611)</f>
        <v>1950000</v>
      </c>
      <c r="K612" s="59"/>
      <c r="L612" s="59">
        <f>SUM(J611:K611)</f>
        <v>1950000</v>
      </c>
    </row>
    <row r="613" spans="1:16" x14ac:dyDescent="0.2">
      <c r="B613" s="49"/>
      <c r="D613" s="519"/>
      <c r="E613" s="579"/>
      <c r="F613" s="311"/>
      <c r="G613" s="47"/>
      <c r="H613" s="312"/>
      <c r="I613" s="229" t="s">
        <v>710</v>
      </c>
      <c r="J613" s="56">
        <f>SUM(J612)</f>
        <v>1950000</v>
      </c>
      <c r="K613" s="60"/>
      <c r="L613" s="60">
        <f>SUM(L612)</f>
        <v>1950000</v>
      </c>
    </row>
    <row r="614" spans="1:16" x14ac:dyDescent="0.2">
      <c r="B614" s="49"/>
      <c r="D614" s="519"/>
      <c r="E614" s="579"/>
      <c r="F614" s="311"/>
      <c r="G614" s="47"/>
      <c r="H614" s="312"/>
      <c r="I614" s="26"/>
      <c r="J614" s="224"/>
      <c r="K614" s="30"/>
      <c r="L614" s="61"/>
    </row>
    <row r="615" spans="1:16" ht="22.5" x14ac:dyDescent="0.2">
      <c r="B615" s="49"/>
      <c r="D615" s="519"/>
      <c r="E615" s="581" t="s">
        <v>454</v>
      </c>
      <c r="F615" s="391"/>
      <c r="G615" s="334"/>
      <c r="H615" s="393"/>
      <c r="I615" s="401" t="s">
        <v>917</v>
      </c>
      <c r="J615" s="261"/>
      <c r="K615" s="326"/>
      <c r="L615" s="57"/>
    </row>
    <row r="616" spans="1:16" x14ac:dyDescent="0.2">
      <c r="B616" s="49"/>
      <c r="D616" s="519"/>
      <c r="E616" s="579"/>
      <c r="F616" s="311">
        <v>104</v>
      </c>
      <c r="G616" s="47"/>
      <c r="H616" s="312" t="s">
        <v>270</v>
      </c>
      <c r="I616" s="220" t="s">
        <v>20</v>
      </c>
      <c r="J616" s="64">
        <v>4500000</v>
      </c>
      <c r="K616" s="59"/>
      <c r="L616" s="59">
        <f>SUM(J616:K616)</f>
        <v>4500000</v>
      </c>
    </row>
    <row r="617" spans="1:16" x14ac:dyDescent="0.2">
      <c r="B617" s="49"/>
      <c r="D617" s="519"/>
      <c r="E617" s="579"/>
      <c r="F617" s="311"/>
      <c r="G617" s="55" t="s">
        <v>37</v>
      </c>
      <c r="H617" s="313"/>
      <c r="I617" s="220" t="s">
        <v>38</v>
      </c>
      <c r="J617" s="64">
        <f>SUM(J616)</f>
        <v>4500000</v>
      </c>
      <c r="K617" s="59"/>
      <c r="L617" s="59">
        <f>SUM(J616:K616)</f>
        <v>4500000</v>
      </c>
    </row>
    <row r="618" spans="1:16" x14ac:dyDescent="0.2">
      <c r="B618" s="49"/>
      <c r="D618" s="519"/>
      <c r="E618" s="579"/>
      <c r="F618" s="311"/>
      <c r="G618" s="47"/>
      <c r="H618" s="312"/>
      <c r="I618" s="229" t="s">
        <v>710</v>
      </c>
      <c r="J618" s="56">
        <f>SUM(J617)</f>
        <v>4500000</v>
      </c>
      <c r="K618" s="60"/>
      <c r="L618" s="60">
        <f>SUM(L617)</f>
        <v>4500000</v>
      </c>
    </row>
    <row r="619" spans="1:16" x14ac:dyDescent="0.2">
      <c r="B619" s="49"/>
      <c r="D619" s="519"/>
      <c r="E619" s="579"/>
      <c r="F619" s="311"/>
      <c r="G619" s="47"/>
      <c r="H619" s="312"/>
      <c r="I619" s="18"/>
      <c r="J619" s="224"/>
      <c r="K619" s="30"/>
      <c r="L619" s="61"/>
    </row>
    <row r="620" spans="1:16" x14ac:dyDescent="0.2">
      <c r="B620" s="49"/>
      <c r="D620" s="519"/>
      <c r="E620" s="581" t="s">
        <v>454</v>
      </c>
      <c r="F620" s="391"/>
      <c r="G620" s="334"/>
      <c r="H620" s="393"/>
      <c r="I620" s="339" t="s">
        <v>918</v>
      </c>
      <c r="J620" s="259"/>
      <c r="K620" s="80"/>
      <c r="L620" s="260"/>
    </row>
    <row r="621" spans="1:16" s="190" customFormat="1" x14ac:dyDescent="0.2">
      <c r="A621" s="711"/>
      <c r="B621" s="646"/>
      <c r="C621" s="646"/>
      <c r="D621" s="645"/>
      <c r="E621" s="626"/>
      <c r="F621" s="882" t="s">
        <v>997</v>
      </c>
      <c r="G621" s="883"/>
      <c r="H621" s="884" t="s">
        <v>46</v>
      </c>
      <c r="I621" s="892" t="s">
        <v>10</v>
      </c>
      <c r="J621" s="887">
        <v>400000</v>
      </c>
      <c r="K621" s="887"/>
      <c r="L621" s="887">
        <f>SUM(J621:K621)</f>
        <v>400000</v>
      </c>
      <c r="M621" s="188"/>
      <c r="N621" s="929"/>
      <c r="O621" s="188"/>
      <c r="P621" s="927"/>
    </row>
    <row r="622" spans="1:16" x14ac:dyDescent="0.2">
      <c r="B622" s="49"/>
      <c r="D622" s="519"/>
      <c r="E622" s="579"/>
      <c r="F622" s="311">
        <v>105</v>
      </c>
      <c r="G622" s="47"/>
      <c r="H622" s="312" t="s">
        <v>270</v>
      </c>
      <c r="I622" s="220" t="s">
        <v>20</v>
      </c>
      <c r="J622" s="64">
        <v>240400000</v>
      </c>
      <c r="K622" s="59"/>
      <c r="L622" s="59">
        <f>SUM(J622:K622)</f>
        <v>240400000</v>
      </c>
    </row>
    <row r="623" spans="1:16" x14ac:dyDescent="0.2">
      <c r="B623" s="49"/>
      <c r="D623" s="519"/>
      <c r="E623" s="579"/>
      <c r="F623" s="311"/>
      <c r="G623" s="55" t="s">
        <v>37</v>
      </c>
      <c r="H623" s="313"/>
      <c r="I623" s="220" t="s">
        <v>38</v>
      </c>
      <c r="J623" s="64">
        <v>120800000</v>
      </c>
      <c r="K623" s="59"/>
      <c r="L623" s="59">
        <f>SUM(J623:K623)</f>
        <v>120800000</v>
      </c>
    </row>
    <row r="624" spans="1:16" x14ac:dyDescent="0.2">
      <c r="B624" s="49"/>
      <c r="D624" s="519"/>
      <c r="E624" s="579"/>
      <c r="F624" s="311"/>
      <c r="G624" s="55" t="s">
        <v>673</v>
      </c>
      <c r="H624" s="313"/>
      <c r="I624" s="220" t="s">
        <v>674</v>
      </c>
      <c r="J624" s="64">
        <v>120000000</v>
      </c>
      <c r="K624" s="59"/>
      <c r="L624" s="59">
        <f>SUM(J624:K624)</f>
        <v>120000000</v>
      </c>
    </row>
    <row r="625" spans="1:16" x14ac:dyDescent="0.2">
      <c r="B625" s="49"/>
      <c r="D625" s="519"/>
      <c r="E625" s="579"/>
      <c r="F625" s="311"/>
      <c r="G625" s="47"/>
      <c r="H625" s="312"/>
      <c r="I625" s="229" t="s">
        <v>710</v>
      </c>
      <c r="J625" s="56">
        <f>SUM(J623:J624)</f>
        <v>240800000</v>
      </c>
      <c r="K625" s="60"/>
      <c r="L625" s="60">
        <f>SUM(J625:K625)</f>
        <v>240800000</v>
      </c>
    </row>
    <row r="626" spans="1:16" x14ac:dyDescent="0.2">
      <c r="B626" s="49"/>
      <c r="D626" s="519"/>
      <c r="E626" s="579"/>
      <c r="F626" s="311"/>
      <c r="G626" s="47"/>
      <c r="H626" s="312"/>
      <c r="I626" s="26"/>
      <c r="J626" s="224"/>
      <c r="K626" s="30"/>
      <c r="L626" s="61"/>
    </row>
    <row r="627" spans="1:16" ht="40.5" customHeight="1" x14ac:dyDescent="0.2">
      <c r="B627" s="49"/>
      <c r="D627" s="519"/>
      <c r="E627" s="581" t="s">
        <v>454</v>
      </c>
      <c r="F627" s="391"/>
      <c r="G627" s="334"/>
      <c r="H627" s="393"/>
      <c r="I627" s="401" t="s">
        <v>919</v>
      </c>
      <c r="J627" s="261"/>
      <c r="K627" s="326"/>
      <c r="L627" s="57"/>
    </row>
    <row r="628" spans="1:16" x14ac:dyDescent="0.2">
      <c r="B628" s="49"/>
      <c r="D628" s="519"/>
      <c r="E628" s="579"/>
      <c r="F628" s="311">
        <v>106</v>
      </c>
      <c r="G628" s="47"/>
      <c r="H628" s="312" t="s">
        <v>270</v>
      </c>
      <c r="I628" s="220" t="s">
        <v>20</v>
      </c>
      <c r="J628" s="64">
        <v>5000000</v>
      </c>
      <c r="K628" s="59"/>
      <c r="L628" s="59">
        <f>SUM(J628:K628)</f>
        <v>5000000</v>
      </c>
    </row>
    <row r="629" spans="1:16" x14ac:dyDescent="0.2">
      <c r="B629" s="49"/>
      <c r="D629" s="519"/>
      <c r="E629" s="579"/>
      <c r="F629" s="311"/>
      <c r="G629" s="55" t="s">
        <v>37</v>
      </c>
      <c r="H629" s="313"/>
      <c r="I629" s="220" t="s">
        <v>38</v>
      </c>
      <c r="J629" s="64">
        <f>SUM(J628)</f>
        <v>5000000</v>
      </c>
      <c r="K629" s="59"/>
      <c r="L629" s="59">
        <f>SUM(J628:K628)</f>
        <v>5000000</v>
      </c>
    </row>
    <row r="630" spans="1:16" x14ac:dyDescent="0.2">
      <c r="B630" s="49"/>
      <c r="D630" s="519"/>
      <c r="E630" s="579"/>
      <c r="F630" s="311"/>
      <c r="G630" s="47"/>
      <c r="H630" s="312"/>
      <c r="I630" s="229" t="s">
        <v>710</v>
      </c>
      <c r="J630" s="56">
        <f>SUM(J629)</f>
        <v>5000000</v>
      </c>
      <c r="K630" s="60"/>
      <c r="L630" s="60">
        <f>SUM(L629)</f>
        <v>5000000</v>
      </c>
    </row>
    <row r="631" spans="1:16" x14ac:dyDescent="0.2">
      <c r="B631" s="49"/>
      <c r="D631" s="519"/>
      <c r="E631" s="579"/>
      <c r="F631" s="311"/>
      <c r="G631" s="47"/>
      <c r="H631" s="312"/>
      <c r="I631" s="26"/>
      <c r="J631" s="224"/>
      <c r="K631" s="30"/>
      <c r="L631" s="61"/>
    </row>
    <row r="632" spans="1:16" ht="45" x14ac:dyDescent="0.2">
      <c r="B632" s="49"/>
      <c r="D632" s="519"/>
      <c r="E632" s="581" t="s">
        <v>454</v>
      </c>
      <c r="F632" s="391"/>
      <c r="G632" s="334"/>
      <c r="H632" s="393"/>
      <c r="I632" s="401" t="s">
        <v>950</v>
      </c>
      <c r="J632" s="261"/>
      <c r="K632" s="326"/>
      <c r="L632" s="57"/>
    </row>
    <row r="633" spans="1:16" s="190" customFormat="1" x14ac:dyDescent="0.2">
      <c r="A633" s="711"/>
      <c r="B633" s="646"/>
      <c r="C633" s="646"/>
      <c r="D633" s="645"/>
      <c r="E633" s="626"/>
      <c r="F633" s="882" t="s">
        <v>996</v>
      </c>
      <c r="G633" s="883"/>
      <c r="H633" s="884" t="s">
        <v>46</v>
      </c>
      <c r="I633" s="892" t="s">
        <v>10</v>
      </c>
      <c r="J633" s="887">
        <v>200000</v>
      </c>
      <c r="K633" s="887"/>
      <c r="L633" s="887">
        <f>SUM(J633:K633)</f>
        <v>200000</v>
      </c>
      <c r="M633" s="188"/>
      <c r="N633" s="929"/>
      <c r="O633" s="188"/>
      <c r="P633" s="927"/>
    </row>
    <row r="634" spans="1:16" x14ac:dyDescent="0.2">
      <c r="B634" s="49"/>
      <c r="D634" s="519"/>
      <c r="E634" s="579"/>
      <c r="F634" s="311">
        <v>107</v>
      </c>
      <c r="G634" s="47"/>
      <c r="H634" s="312" t="s">
        <v>270</v>
      </c>
      <c r="I634" s="220" t="s">
        <v>20</v>
      </c>
      <c r="J634" s="64">
        <v>22600000</v>
      </c>
      <c r="K634" s="59"/>
      <c r="L634" s="59">
        <f>SUM(J634:K634)</f>
        <v>22600000</v>
      </c>
    </row>
    <row r="635" spans="1:16" x14ac:dyDescent="0.2">
      <c r="B635" s="49"/>
      <c r="D635" s="519"/>
      <c r="E635" s="579"/>
      <c r="F635" s="311"/>
      <c r="G635" s="55" t="s">
        <v>37</v>
      </c>
      <c r="H635" s="313"/>
      <c r="I635" s="292" t="s">
        <v>38</v>
      </c>
      <c r="J635" s="64">
        <f>SUM(J637-J636)</f>
        <v>17219583.73</v>
      </c>
      <c r="K635" s="59"/>
      <c r="L635" s="59">
        <f t="shared" ref="L635:L637" si="37">SUM(J635:K635)</f>
        <v>17219583.73</v>
      </c>
      <c r="N635" s="942"/>
    </row>
    <row r="636" spans="1:16" x14ac:dyDescent="0.2">
      <c r="B636" s="49"/>
      <c r="D636" s="519"/>
      <c r="E636" s="579"/>
      <c r="F636" s="311"/>
      <c r="G636" s="55" t="s">
        <v>113</v>
      </c>
      <c r="H636" s="313"/>
      <c r="I636" s="220" t="s">
        <v>418</v>
      </c>
      <c r="J636" s="64">
        <v>5580416.2699999996</v>
      </c>
      <c r="K636" s="59"/>
      <c r="L636" s="59">
        <f t="shared" si="37"/>
        <v>5580416.2699999996</v>
      </c>
    </row>
    <row r="637" spans="1:16" x14ac:dyDescent="0.2">
      <c r="B637" s="49"/>
      <c r="D637" s="519"/>
      <c r="E637" s="579"/>
      <c r="F637" s="311"/>
      <c r="G637" s="47"/>
      <c r="H637" s="312"/>
      <c r="I637" s="293" t="s">
        <v>710</v>
      </c>
      <c r="J637" s="56">
        <f>SUM(J633:J634)</f>
        <v>22800000</v>
      </c>
      <c r="K637" s="60"/>
      <c r="L637" s="60">
        <f t="shared" si="37"/>
        <v>22800000</v>
      </c>
    </row>
    <row r="638" spans="1:16" x14ac:dyDescent="0.2">
      <c r="B638" s="49"/>
      <c r="D638" s="519"/>
      <c r="E638" s="579"/>
      <c r="F638" s="311"/>
      <c r="G638" s="47"/>
      <c r="H638" s="312"/>
      <c r="I638" s="26"/>
      <c r="J638" s="224"/>
      <c r="K638" s="30"/>
      <c r="L638" s="61"/>
    </row>
    <row r="639" spans="1:16" ht="22.5" x14ac:dyDescent="0.2">
      <c r="B639" s="49"/>
      <c r="D639" s="519"/>
      <c r="E639" s="581" t="s">
        <v>454</v>
      </c>
      <c r="F639" s="391"/>
      <c r="G639" s="334"/>
      <c r="H639" s="393"/>
      <c r="I639" s="401" t="s">
        <v>920</v>
      </c>
      <c r="J639" s="326"/>
      <c r="K639" s="326"/>
      <c r="L639" s="57"/>
    </row>
    <row r="640" spans="1:16" x14ac:dyDescent="0.2">
      <c r="B640" s="49"/>
      <c r="D640" s="519"/>
      <c r="E640" s="579"/>
      <c r="F640" s="311">
        <v>108</v>
      </c>
      <c r="G640" s="47"/>
      <c r="H640" s="312" t="s">
        <v>270</v>
      </c>
      <c r="I640" s="220" t="s">
        <v>20</v>
      </c>
      <c r="J640" s="59">
        <v>1200000</v>
      </c>
      <c r="K640" s="373"/>
      <c r="L640" s="59">
        <f>SUM(J640:K640)</f>
        <v>1200000</v>
      </c>
    </row>
    <row r="641" spans="1:14" x14ac:dyDescent="0.2">
      <c r="B641" s="49"/>
      <c r="D641" s="519"/>
      <c r="E641" s="579"/>
      <c r="F641" s="311"/>
      <c r="G641" s="55" t="s">
        <v>37</v>
      </c>
      <c r="H641" s="313"/>
      <c r="I641" s="220" t="s">
        <v>38</v>
      </c>
      <c r="J641" s="59">
        <f>SUM(J640)</f>
        <v>1200000</v>
      </c>
      <c r="K641" s="59"/>
      <c r="L641" s="59">
        <f>SUM(J640:K640)</f>
        <v>1200000</v>
      </c>
    </row>
    <row r="642" spans="1:14" x14ac:dyDescent="0.2">
      <c r="B642" s="49"/>
      <c r="D642" s="519"/>
      <c r="E642" s="579"/>
      <c r="F642" s="311"/>
      <c r="G642" s="47"/>
      <c r="H642" s="312"/>
      <c r="I642" s="229" t="s">
        <v>710</v>
      </c>
      <c r="J642" s="60">
        <f>SUM(J641)</f>
        <v>1200000</v>
      </c>
      <c r="K642" s="60"/>
      <c r="L642" s="60">
        <f>SUM(J641:K641)</f>
        <v>1200000</v>
      </c>
    </row>
    <row r="643" spans="1:14" x14ac:dyDescent="0.2">
      <c r="B643" s="49"/>
      <c r="D643" s="519"/>
      <c r="E643" s="579"/>
      <c r="F643" s="311"/>
      <c r="G643" s="47"/>
      <c r="H643" s="312"/>
      <c r="I643" s="26"/>
      <c r="J643" s="30"/>
      <c r="K643" s="30"/>
      <c r="L643" s="61"/>
    </row>
    <row r="644" spans="1:14" ht="22.5" x14ac:dyDescent="0.2">
      <c r="B644" s="49"/>
      <c r="D644" s="519"/>
      <c r="E644" s="581" t="s">
        <v>454</v>
      </c>
      <c r="F644" s="391"/>
      <c r="G644" s="334"/>
      <c r="H644" s="393"/>
      <c r="I644" s="401" t="s">
        <v>921</v>
      </c>
      <c r="J644" s="326"/>
      <c r="K644" s="326"/>
      <c r="L644" s="57"/>
    </row>
    <row r="645" spans="1:14" x14ac:dyDescent="0.2">
      <c r="B645" s="49"/>
      <c r="D645" s="519"/>
      <c r="E645" s="579"/>
      <c r="F645" s="311">
        <v>109</v>
      </c>
      <c r="G645" s="47"/>
      <c r="H645" s="312" t="s">
        <v>270</v>
      </c>
      <c r="I645" s="220" t="s">
        <v>20</v>
      </c>
      <c r="J645" s="59">
        <v>500000</v>
      </c>
      <c r="K645" s="59"/>
      <c r="L645" s="59">
        <f>SUM(J645:K645)</f>
        <v>500000</v>
      </c>
    </row>
    <row r="646" spans="1:14" x14ac:dyDescent="0.2">
      <c r="B646" s="49"/>
      <c r="D646" s="519"/>
      <c r="E646" s="579"/>
      <c r="F646" s="311"/>
      <c r="G646" s="55" t="s">
        <v>37</v>
      </c>
      <c r="H646" s="313"/>
      <c r="I646" s="220" t="s">
        <v>38</v>
      </c>
      <c r="J646" s="59">
        <f>SUM(J645)</f>
        <v>500000</v>
      </c>
      <c r="K646" s="59"/>
      <c r="L646" s="59">
        <f>SUM(J645:K645)</f>
        <v>500000</v>
      </c>
    </row>
    <row r="647" spans="1:14" x14ac:dyDescent="0.2">
      <c r="B647" s="49"/>
      <c r="D647" s="519"/>
      <c r="E647" s="579"/>
      <c r="F647" s="311"/>
      <c r="G647" s="47"/>
      <c r="H647" s="312"/>
      <c r="I647" s="229" t="s">
        <v>710</v>
      </c>
      <c r="J647" s="60">
        <f>SUM(J646)</f>
        <v>500000</v>
      </c>
      <c r="K647" s="60"/>
      <c r="L647" s="60">
        <f>SUM(J646:K646)</f>
        <v>500000</v>
      </c>
      <c r="N647" s="17"/>
    </row>
    <row r="648" spans="1:14" x14ac:dyDescent="0.2">
      <c r="B648" s="49"/>
      <c r="D648" s="519"/>
      <c r="E648" s="579"/>
      <c r="F648" s="311"/>
      <c r="G648" s="47"/>
      <c r="H648" s="312"/>
      <c r="I648" s="26"/>
      <c r="J648" s="30"/>
      <c r="K648" s="30"/>
      <c r="L648" s="61"/>
      <c r="N648" s="17"/>
    </row>
    <row r="649" spans="1:14" ht="22.5" x14ac:dyDescent="0.2">
      <c r="A649" s="708"/>
      <c r="B649" s="708"/>
      <c r="C649" s="709"/>
      <c r="D649" s="708"/>
      <c r="E649" s="581" t="s">
        <v>454</v>
      </c>
      <c r="F649" s="391"/>
      <c r="G649" s="407"/>
      <c r="H649" s="467"/>
      <c r="I649" s="401" t="s">
        <v>922</v>
      </c>
      <c r="J649" s="374"/>
      <c r="K649" s="374"/>
      <c r="L649" s="375"/>
    </row>
    <row r="650" spans="1:14" ht="15" x14ac:dyDescent="0.2">
      <c r="A650" s="708"/>
      <c r="B650" s="708"/>
      <c r="C650" s="709"/>
      <c r="D650" s="708"/>
      <c r="E650" s="710"/>
      <c r="F650" s="311">
        <v>110</v>
      </c>
      <c r="G650" s="47"/>
      <c r="H650" s="312" t="s">
        <v>270</v>
      </c>
      <c r="I650" s="220" t="s">
        <v>20</v>
      </c>
      <c r="J650" s="59">
        <v>600000</v>
      </c>
      <c r="K650" s="59"/>
      <c r="L650" s="59">
        <f>SUM(J650:K650)</f>
        <v>600000</v>
      </c>
    </row>
    <row r="651" spans="1:14" ht="15" x14ac:dyDescent="0.25">
      <c r="A651" s="708"/>
      <c r="B651" s="708"/>
      <c r="C651" s="709"/>
      <c r="D651" s="708"/>
      <c r="E651" s="710"/>
      <c r="F651" s="311"/>
      <c r="G651" s="55" t="s">
        <v>37</v>
      </c>
      <c r="H651" s="315"/>
      <c r="I651" s="220" t="s">
        <v>38</v>
      </c>
      <c r="J651" s="59">
        <f>SUM(J650)</f>
        <v>600000</v>
      </c>
      <c r="K651" s="59"/>
      <c r="L651" s="59">
        <f>SUM(J650:K650)</f>
        <v>600000</v>
      </c>
    </row>
    <row r="652" spans="1:14" x14ac:dyDescent="0.2">
      <c r="A652" s="519"/>
      <c r="B652" s="49"/>
      <c r="D652" s="519"/>
      <c r="E652" s="579"/>
      <c r="F652" s="311"/>
      <c r="G652" s="320"/>
      <c r="H652" s="312"/>
      <c r="I652" s="65" t="s">
        <v>710</v>
      </c>
      <c r="J652" s="60">
        <f>SUM(J651)</f>
        <v>600000</v>
      </c>
      <c r="K652" s="60"/>
      <c r="L652" s="60">
        <f>SUM(J651:K651)</f>
        <v>600000</v>
      </c>
    </row>
    <row r="653" spans="1:14" x14ac:dyDescent="0.2">
      <c r="B653" s="49"/>
      <c r="D653" s="520"/>
      <c r="E653" s="579"/>
      <c r="F653" s="311"/>
      <c r="G653" s="47"/>
      <c r="H653" s="312"/>
      <c r="I653" s="288"/>
      <c r="J653" s="80"/>
      <c r="K653" s="80"/>
      <c r="L653" s="260"/>
    </row>
    <row r="654" spans="1:14" x14ac:dyDescent="0.2">
      <c r="B654" s="49"/>
      <c r="C654" s="49">
        <v>620</v>
      </c>
      <c r="E654" s="579"/>
      <c r="F654" s="311"/>
      <c r="G654" s="47"/>
      <c r="H654" s="313"/>
      <c r="I654" s="287" t="s">
        <v>105</v>
      </c>
      <c r="J654" s="364"/>
      <c r="K654" s="364"/>
      <c r="L654" s="365"/>
    </row>
    <row r="655" spans="1:14" x14ac:dyDescent="0.2">
      <c r="A655" s="367"/>
      <c r="B655" s="436"/>
      <c r="C655" s="436"/>
      <c r="D655" s="521"/>
      <c r="E655" s="582"/>
      <c r="F655" s="441"/>
      <c r="G655" s="230"/>
      <c r="H655" s="470"/>
      <c r="I655" s="18"/>
      <c r="J655" s="30"/>
      <c r="K655" s="30"/>
      <c r="L655" s="61"/>
    </row>
    <row r="656" spans="1:14" ht="15" x14ac:dyDescent="0.2">
      <c r="B656" s="49"/>
      <c r="C656" s="709"/>
      <c r="D656" s="708"/>
      <c r="E656" s="710"/>
      <c r="F656" s="311"/>
      <c r="G656" s="230"/>
      <c r="H656" s="470"/>
      <c r="I656" s="297" t="s">
        <v>468</v>
      </c>
      <c r="J656" s="326"/>
      <c r="K656" s="326"/>
      <c r="L656" s="57"/>
    </row>
    <row r="657" spans="1:12" x14ac:dyDescent="0.2">
      <c r="B657" s="49"/>
      <c r="D657" s="49"/>
      <c r="E657" s="579"/>
      <c r="F657" s="311"/>
      <c r="G657" s="320"/>
      <c r="H657" s="313"/>
      <c r="I657" s="28"/>
      <c r="J657" s="30"/>
      <c r="K657" s="30"/>
      <c r="L657" s="61"/>
    </row>
    <row r="658" spans="1:12" x14ac:dyDescent="0.2">
      <c r="B658" s="49"/>
      <c r="D658" s="49"/>
      <c r="E658" s="580"/>
      <c r="F658" s="439"/>
      <c r="G658" s="329"/>
      <c r="H658" s="457"/>
      <c r="I658" s="396" t="s">
        <v>272</v>
      </c>
      <c r="J658" s="494"/>
      <c r="K658" s="494"/>
      <c r="L658" s="331"/>
    </row>
    <row r="659" spans="1:12" x14ac:dyDescent="0.2">
      <c r="A659" s="711"/>
      <c r="B659" s="646"/>
      <c r="C659" s="646"/>
      <c r="D659" s="646"/>
      <c r="E659" s="580" t="s">
        <v>457</v>
      </c>
      <c r="F659" s="439"/>
      <c r="G659" s="329"/>
      <c r="H659" s="460"/>
      <c r="I659" s="398" t="s">
        <v>451</v>
      </c>
      <c r="J659" s="486"/>
      <c r="K659" s="486"/>
      <c r="L659" s="400"/>
    </row>
    <row r="660" spans="1:12" x14ac:dyDescent="0.2">
      <c r="B660" s="49"/>
      <c r="D660" s="519"/>
      <c r="E660" s="579"/>
      <c r="F660" s="311"/>
      <c r="G660" s="321"/>
      <c r="H660" s="471"/>
      <c r="I660" s="266"/>
      <c r="J660" s="30"/>
      <c r="K660" s="30"/>
      <c r="L660" s="61"/>
    </row>
    <row r="661" spans="1:12" x14ac:dyDescent="0.2">
      <c r="B661" s="49"/>
      <c r="D661" s="519"/>
      <c r="E661" s="579"/>
      <c r="F661" s="311">
        <v>111</v>
      </c>
      <c r="G661" s="47"/>
      <c r="H661" s="311">
        <v>424</v>
      </c>
      <c r="I661" s="270" t="s">
        <v>655</v>
      </c>
      <c r="J661" s="59">
        <v>19073856</v>
      </c>
      <c r="K661" s="59"/>
      <c r="L661" s="59">
        <f>SUM(J661+K661)</f>
        <v>19073856</v>
      </c>
    </row>
    <row r="662" spans="1:12" x14ac:dyDescent="0.2">
      <c r="B662" s="49"/>
      <c r="D662" s="519"/>
      <c r="E662" s="579"/>
      <c r="F662" s="311">
        <v>112</v>
      </c>
      <c r="G662" s="47"/>
      <c r="H662" s="468">
        <v>451</v>
      </c>
      <c r="I662" s="267" t="s">
        <v>658</v>
      </c>
      <c r="J662" s="59">
        <v>6453600</v>
      </c>
      <c r="K662" s="59"/>
      <c r="L662" s="59">
        <f t="shared" ref="L662:L664" si="38">SUM(J662+K662)</f>
        <v>6453600</v>
      </c>
    </row>
    <row r="663" spans="1:12" x14ac:dyDescent="0.2">
      <c r="B663" s="49"/>
      <c r="D663" s="519"/>
      <c r="E663" s="579"/>
      <c r="F663" s="311"/>
      <c r="G663" s="55" t="s">
        <v>37</v>
      </c>
      <c r="H663" s="313"/>
      <c r="I663" s="220" t="s">
        <v>38</v>
      </c>
      <c r="J663" s="59">
        <f>SUM(J661:J662)</f>
        <v>25527456</v>
      </c>
      <c r="K663" s="59"/>
      <c r="L663" s="59">
        <f t="shared" si="38"/>
        <v>25527456</v>
      </c>
    </row>
    <row r="664" spans="1:12" x14ac:dyDescent="0.2">
      <c r="A664" s="519"/>
      <c r="B664" s="49"/>
      <c r="D664" s="519"/>
      <c r="E664" s="579"/>
      <c r="F664" s="311"/>
      <c r="G664" s="47"/>
      <c r="H664" s="312"/>
      <c r="I664" s="229" t="s">
        <v>621</v>
      </c>
      <c r="J664" s="60">
        <f>SUM(J663)</f>
        <v>25527456</v>
      </c>
      <c r="K664" s="60"/>
      <c r="L664" s="60">
        <f t="shared" si="38"/>
        <v>25527456</v>
      </c>
    </row>
    <row r="665" spans="1:12" x14ac:dyDescent="0.2">
      <c r="D665" s="49"/>
      <c r="E665" s="579"/>
      <c r="F665" s="311"/>
      <c r="G665" s="47"/>
      <c r="H665" s="312"/>
      <c r="I665" s="238"/>
      <c r="J665" s="378"/>
      <c r="K665" s="378"/>
      <c r="L665" s="680"/>
    </row>
    <row r="666" spans="1:12" x14ac:dyDescent="0.2">
      <c r="D666" s="49"/>
      <c r="E666" s="581">
        <v>1102</v>
      </c>
      <c r="F666" s="391"/>
      <c r="G666" s="334"/>
      <c r="H666" s="393"/>
      <c r="I666" s="403" t="s">
        <v>889</v>
      </c>
      <c r="J666" s="337"/>
      <c r="K666" s="337"/>
      <c r="L666" s="338"/>
    </row>
    <row r="667" spans="1:12" x14ac:dyDescent="0.2">
      <c r="D667" s="49"/>
      <c r="E667" s="579"/>
      <c r="F667" s="311">
        <v>113</v>
      </c>
      <c r="G667" s="47"/>
      <c r="H667" s="312" t="s">
        <v>650</v>
      </c>
      <c r="I667" s="220" t="s">
        <v>13</v>
      </c>
      <c r="J667" s="59">
        <v>850000</v>
      </c>
      <c r="K667" s="60"/>
      <c r="L667" s="59">
        <f>SUM(J667:K667)</f>
        <v>850000</v>
      </c>
    </row>
    <row r="668" spans="1:12" x14ac:dyDescent="0.2">
      <c r="D668" s="49"/>
      <c r="E668" s="579"/>
      <c r="F668" s="311">
        <v>114</v>
      </c>
      <c r="G668" s="47"/>
      <c r="H668" s="312" t="s">
        <v>651</v>
      </c>
      <c r="I668" s="220" t="s">
        <v>14</v>
      </c>
      <c r="J668" s="59">
        <v>10000</v>
      </c>
      <c r="K668" s="60"/>
      <c r="L668" s="59">
        <f t="shared" ref="L668:L671" si="39">SUM(J668:K668)</f>
        <v>10000</v>
      </c>
    </row>
    <row r="669" spans="1:12" x14ac:dyDescent="0.2">
      <c r="D669" s="49"/>
      <c r="E669" s="579"/>
      <c r="F669" s="311">
        <v>115</v>
      </c>
      <c r="G669" s="47"/>
      <c r="H669" s="312" t="s">
        <v>570</v>
      </c>
      <c r="I669" s="220" t="s">
        <v>21</v>
      </c>
      <c r="J669" s="59">
        <v>4200000</v>
      </c>
      <c r="K669" s="60"/>
      <c r="L669" s="59">
        <f t="shared" si="39"/>
        <v>4200000</v>
      </c>
    </row>
    <row r="670" spans="1:12" x14ac:dyDescent="0.2">
      <c r="D670" s="49"/>
      <c r="E670" s="579"/>
      <c r="F670" s="311"/>
      <c r="G670" s="47"/>
      <c r="H670" s="312"/>
      <c r="I670" s="235" t="s">
        <v>890</v>
      </c>
      <c r="J670" s="60">
        <f>SUM(J667:J669)</f>
        <v>5060000</v>
      </c>
      <c r="K670" s="60"/>
      <c r="L670" s="60">
        <f t="shared" si="39"/>
        <v>5060000</v>
      </c>
    </row>
    <row r="671" spans="1:12" x14ac:dyDescent="0.2">
      <c r="D671" s="49"/>
      <c r="E671" s="579"/>
      <c r="F671" s="311"/>
      <c r="G671" s="55" t="s">
        <v>37</v>
      </c>
      <c r="H671" s="313"/>
      <c r="I671" s="220" t="s">
        <v>38</v>
      </c>
      <c r="J671" s="59">
        <f>SUM(J670)</f>
        <v>5060000</v>
      </c>
      <c r="K671" s="60"/>
      <c r="L671" s="59">
        <f t="shared" si="39"/>
        <v>5060000</v>
      </c>
    </row>
    <row r="672" spans="1:12" x14ac:dyDescent="0.2">
      <c r="D672" s="49"/>
      <c r="E672" s="579"/>
      <c r="F672" s="311"/>
      <c r="G672" s="47"/>
      <c r="H672" s="312"/>
      <c r="I672" s="712"/>
      <c r="J672" s="80"/>
      <c r="K672" s="80"/>
      <c r="L672" s="80"/>
    </row>
    <row r="673" spans="1:16" x14ac:dyDescent="0.2">
      <c r="D673" s="49"/>
      <c r="E673" s="581" t="s">
        <v>454</v>
      </c>
      <c r="F673" s="391"/>
      <c r="G673" s="334"/>
      <c r="H673" s="393"/>
      <c r="I673" s="403" t="s">
        <v>888</v>
      </c>
      <c r="J673" s="337"/>
      <c r="K673" s="337"/>
      <c r="L673" s="338"/>
    </row>
    <row r="674" spans="1:16" x14ac:dyDescent="0.2">
      <c r="D674" s="49"/>
      <c r="E674" s="579"/>
      <c r="F674" s="311">
        <v>116</v>
      </c>
      <c r="G674" s="47"/>
      <c r="H674" s="312" t="s">
        <v>650</v>
      </c>
      <c r="I674" s="220" t="s">
        <v>13</v>
      </c>
      <c r="J674" s="59">
        <v>1000</v>
      </c>
      <c r="K674" s="60"/>
      <c r="L674" s="59">
        <f>SUM(J674:K674)</f>
        <v>1000</v>
      </c>
    </row>
    <row r="675" spans="1:16" x14ac:dyDescent="0.2">
      <c r="D675" s="49"/>
      <c r="E675" s="579"/>
      <c r="F675" s="311">
        <v>117</v>
      </c>
      <c r="G675" s="47"/>
      <c r="H675" s="312" t="s">
        <v>651</v>
      </c>
      <c r="I675" s="220" t="s">
        <v>14</v>
      </c>
      <c r="J675" s="59">
        <v>1000</v>
      </c>
      <c r="K675" s="60"/>
      <c r="L675" s="59">
        <f t="shared" ref="L675:L678" si="40">SUM(J675:K675)</f>
        <v>1000</v>
      </c>
    </row>
    <row r="676" spans="1:16" x14ac:dyDescent="0.2">
      <c r="D676" s="49"/>
      <c r="E676" s="579"/>
      <c r="F676" s="311">
        <v>118</v>
      </c>
      <c r="G676" s="47"/>
      <c r="H676" s="312" t="s">
        <v>570</v>
      </c>
      <c r="I676" s="220" t="s">
        <v>21</v>
      </c>
      <c r="J676" s="59">
        <v>15960000</v>
      </c>
      <c r="K676" s="60"/>
      <c r="L676" s="59">
        <f t="shared" si="40"/>
        <v>15960000</v>
      </c>
      <c r="N676" s="942"/>
    </row>
    <row r="677" spans="1:16" x14ac:dyDescent="0.2">
      <c r="D677" s="49"/>
      <c r="E677" s="579"/>
      <c r="F677" s="311"/>
      <c r="G677" s="47"/>
      <c r="H677" s="312"/>
      <c r="I677" s="235" t="s">
        <v>742</v>
      </c>
      <c r="J677" s="60">
        <f>SUM(J674:J676)</f>
        <v>15962000</v>
      </c>
      <c r="K677" s="60"/>
      <c r="L677" s="60">
        <f t="shared" si="40"/>
        <v>15962000</v>
      </c>
    </row>
    <row r="678" spans="1:16" x14ac:dyDescent="0.2">
      <c r="A678" s="519"/>
      <c r="B678" s="49"/>
      <c r="D678" s="519"/>
      <c r="E678" s="579"/>
      <c r="F678" s="311"/>
      <c r="G678" s="55" t="s">
        <v>37</v>
      </c>
      <c r="H678" s="313"/>
      <c r="I678" s="220" t="s">
        <v>38</v>
      </c>
      <c r="J678" s="59">
        <f>SUM(J677)</f>
        <v>15962000</v>
      </c>
      <c r="K678" s="60"/>
      <c r="L678" s="59">
        <f t="shared" si="40"/>
        <v>15962000</v>
      </c>
    </row>
    <row r="679" spans="1:16" x14ac:dyDescent="0.2">
      <c r="A679" s="519"/>
      <c r="B679" s="49"/>
      <c r="D679" s="519"/>
      <c r="E679" s="579"/>
      <c r="F679" s="311"/>
      <c r="G679" s="55"/>
      <c r="H679" s="313"/>
      <c r="I679" s="236"/>
      <c r="J679" s="76"/>
      <c r="K679" s="326"/>
      <c r="L679" s="218"/>
    </row>
    <row r="680" spans="1:16" ht="22.5" x14ac:dyDescent="0.2">
      <c r="B680" s="49"/>
      <c r="D680" s="520"/>
      <c r="E680" s="581" t="s">
        <v>454</v>
      </c>
      <c r="F680" s="391"/>
      <c r="G680" s="334"/>
      <c r="H680" s="393"/>
      <c r="I680" s="336" t="s">
        <v>887</v>
      </c>
      <c r="J680" s="256"/>
      <c r="K680" s="256"/>
      <c r="L680" s="160"/>
    </row>
    <row r="681" spans="1:16" s="190" customFormat="1" x14ac:dyDescent="0.2">
      <c r="A681" s="711"/>
      <c r="B681" s="646"/>
      <c r="C681" s="646"/>
      <c r="D681" s="890"/>
      <c r="E681" s="626"/>
      <c r="F681" s="882" t="s">
        <v>995</v>
      </c>
      <c r="G681" s="883"/>
      <c r="H681" s="884" t="s">
        <v>46</v>
      </c>
      <c r="I681" s="892" t="s">
        <v>10</v>
      </c>
      <c r="J681" s="887">
        <v>200000</v>
      </c>
      <c r="K681" s="887"/>
      <c r="L681" s="887">
        <f>SUM(J681:K681)</f>
        <v>200000</v>
      </c>
      <c r="M681" s="188"/>
      <c r="N681" s="929"/>
      <c r="O681" s="188"/>
      <c r="P681" s="927"/>
    </row>
    <row r="682" spans="1:16" x14ac:dyDescent="0.2">
      <c r="B682" s="49"/>
      <c r="D682" s="520"/>
      <c r="E682" s="579"/>
      <c r="F682" s="311">
        <v>119</v>
      </c>
      <c r="G682" s="47"/>
      <c r="H682" s="312" t="s">
        <v>270</v>
      </c>
      <c r="I682" s="220" t="s">
        <v>20</v>
      </c>
      <c r="J682" s="59">
        <v>8340000</v>
      </c>
      <c r="K682" s="59"/>
      <c r="L682" s="59">
        <f>SUM(J682:K682)</f>
        <v>8340000</v>
      </c>
    </row>
    <row r="683" spans="1:16" x14ac:dyDescent="0.2">
      <c r="B683" s="49"/>
      <c r="D683" s="520"/>
      <c r="E683" s="579"/>
      <c r="F683" s="311"/>
      <c r="G683" s="55" t="s">
        <v>37</v>
      </c>
      <c r="H683" s="313"/>
      <c r="I683" s="220" t="s">
        <v>38</v>
      </c>
      <c r="J683" s="59">
        <f>SUM(J685-J684)</f>
        <v>4540000</v>
      </c>
      <c r="K683" s="59"/>
      <c r="L683" s="59">
        <f t="shared" ref="L683:L685" si="41">SUM(J683:K683)</f>
        <v>4540000</v>
      </c>
    </row>
    <row r="684" spans="1:16" x14ac:dyDescent="0.2">
      <c r="B684" s="49"/>
      <c r="D684" s="520"/>
      <c r="E684" s="579"/>
      <c r="F684" s="311"/>
      <c r="G684" s="318" t="s">
        <v>113</v>
      </c>
      <c r="H684" s="463"/>
      <c r="I684" s="275" t="s">
        <v>280</v>
      </c>
      <c r="J684" s="54">
        <v>4000000</v>
      </c>
      <c r="K684" s="60"/>
      <c r="L684" s="59">
        <f t="shared" si="41"/>
        <v>4000000</v>
      </c>
    </row>
    <row r="685" spans="1:16" x14ac:dyDescent="0.2">
      <c r="B685" s="49"/>
      <c r="D685" s="520"/>
      <c r="E685" s="579"/>
      <c r="F685" s="311"/>
      <c r="G685" s="47"/>
      <c r="H685" s="312"/>
      <c r="I685" s="229" t="s">
        <v>710</v>
      </c>
      <c r="J685" s="60">
        <f>SUM(J681:J682)</f>
        <v>8540000</v>
      </c>
      <c r="K685" s="60"/>
      <c r="L685" s="60">
        <f t="shared" si="41"/>
        <v>8540000</v>
      </c>
    </row>
    <row r="686" spans="1:16" x14ac:dyDescent="0.2">
      <c r="B686" s="49"/>
      <c r="D686" s="520"/>
      <c r="E686" s="579"/>
      <c r="F686" s="311"/>
      <c r="G686" s="47"/>
      <c r="H686" s="312"/>
      <c r="I686" s="269"/>
      <c r="J686" s="30"/>
      <c r="K686" s="30"/>
      <c r="L686" s="61"/>
    </row>
    <row r="687" spans="1:16" ht="33.75" x14ac:dyDescent="0.2">
      <c r="B687" s="49"/>
      <c r="D687" s="520"/>
      <c r="E687" s="581" t="s">
        <v>454</v>
      </c>
      <c r="F687" s="391"/>
      <c r="G687" s="334"/>
      <c r="H687" s="393"/>
      <c r="I687" s="336" t="s">
        <v>886</v>
      </c>
      <c r="J687" s="256"/>
      <c r="K687" s="256"/>
      <c r="L687" s="160"/>
    </row>
    <row r="688" spans="1:16" x14ac:dyDescent="0.2">
      <c r="B688" s="49"/>
      <c r="D688" s="520"/>
      <c r="E688" s="579"/>
      <c r="F688" s="311">
        <v>120</v>
      </c>
      <c r="G688" s="47"/>
      <c r="H688" s="312" t="s">
        <v>270</v>
      </c>
      <c r="I688" s="220" t="s">
        <v>20</v>
      </c>
      <c r="J688" s="59">
        <v>240000</v>
      </c>
      <c r="K688" s="59"/>
      <c r="L688" s="59">
        <f>SUM(J688:K688)</f>
        <v>240000</v>
      </c>
    </row>
    <row r="689" spans="1:12" x14ac:dyDescent="0.2">
      <c r="B689" s="49"/>
      <c r="D689" s="520"/>
      <c r="E689" s="579"/>
      <c r="F689" s="311"/>
      <c r="G689" s="55" t="s">
        <v>37</v>
      </c>
      <c r="H689" s="313"/>
      <c r="I689" s="220" t="s">
        <v>38</v>
      </c>
      <c r="J689" s="59">
        <f>SUM(J688)</f>
        <v>240000</v>
      </c>
      <c r="K689" s="59"/>
      <c r="L689" s="59">
        <f t="shared" ref="L689:L690" si="42">SUM(J689:K689)</f>
        <v>240000</v>
      </c>
    </row>
    <row r="690" spans="1:12" x14ac:dyDescent="0.2">
      <c r="B690" s="49"/>
      <c r="D690" s="520"/>
      <c r="E690" s="579"/>
      <c r="F690" s="311"/>
      <c r="G690" s="47"/>
      <c r="H690" s="312"/>
      <c r="I690" s="229" t="s">
        <v>710</v>
      </c>
      <c r="J690" s="60">
        <f>SUM(J688)</f>
        <v>240000</v>
      </c>
      <c r="K690" s="60"/>
      <c r="L690" s="60">
        <f t="shared" si="42"/>
        <v>240000</v>
      </c>
    </row>
    <row r="691" spans="1:12" x14ac:dyDescent="0.2">
      <c r="B691" s="49"/>
      <c r="D691" s="520"/>
      <c r="E691" s="579"/>
      <c r="F691" s="311"/>
      <c r="G691" s="47"/>
      <c r="H691" s="312"/>
      <c r="I691" s="114"/>
      <c r="J691" s="326"/>
      <c r="K691" s="326"/>
      <c r="L691" s="326"/>
    </row>
    <row r="692" spans="1:12" x14ac:dyDescent="0.2">
      <c r="A692" s="689"/>
      <c r="B692" s="690"/>
      <c r="C692" s="690"/>
      <c r="D692" s="616" t="s">
        <v>253</v>
      </c>
      <c r="E692" s="617"/>
      <c r="F692" s="701"/>
      <c r="G692" s="691"/>
      <c r="H692" s="692"/>
      <c r="I692" s="693" t="s">
        <v>937</v>
      </c>
      <c r="J692" s="694">
        <f>SUM(J700+J708+J718+J728+J734+J746+J752+J759+J768+J773+J780+J785+J793+J803+J810+J826+J816+J821+J740)</f>
        <v>138738431</v>
      </c>
      <c r="K692" s="694"/>
      <c r="L692" s="694">
        <f>SUM(J692:K692)</f>
        <v>138738431</v>
      </c>
    </row>
    <row r="693" spans="1:12" x14ac:dyDescent="0.2">
      <c r="A693" s="645"/>
      <c r="B693" s="646"/>
      <c r="C693" s="646"/>
      <c r="D693" s="625"/>
      <c r="E693" s="626"/>
      <c r="F693" s="442"/>
      <c r="G693" s="321"/>
      <c r="H693" s="647"/>
      <c r="I693" s="266"/>
      <c r="J693" s="80"/>
      <c r="K693" s="127"/>
      <c r="L693" s="260"/>
    </row>
    <row r="694" spans="1:12" x14ac:dyDescent="0.2">
      <c r="A694" s="519"/>
      <c r="B694" s="49"/>
      <c r="D694" s="519"/>
      <c r="E694" s="580"/>
      <c r="F694" s="439"/>
      <c r="G694" s="329"/>
      <c r="H694" s="457"/>
      <c r="I694" s="396" t="s">
        <v>272</v>
      </c>
      <c r="J694" s="397"/>
      <c r="K694" s="397"/>
      <c r="L694" s="415"/>
    </row>
    <row r="695" spans="1:12" x14ac:dyDescent="0.2">
      <c r="A695" s="519"/>
      <c r="B695" s="49"/>
      <c r="D695" s="49"/>
      <c r="E695" s="580" t="s">
        <v>265</v>
      </c>
      <c r="F695" s="439"/>
      <c r="G695" s="329"/>
      <c r="H695" s="460"/>
      <c r="I695" s="398" t="s">
        <v>438</v>
      </c>
      <c r="J695" s="399"/>
      <c r="K695" s="399"/>
      <c r="L695" s="402"/>
    </row>
    <row r="696" spans="1:12" x14ac:dyDescent="0.2">
      <c r="A696" s="613"/>
      <c r="B696" s="436"/>
      <c r="C696" s="436"/>
      <c r="D696" s="436"/>
      <c r="E696" s="582"/>
      <c r="F696" s="441"/>
      <c r="G696" s="230"/>
      <c r="H696" s="340"/>
      <c r="I696" s="18"/>
      <c r="J696" s="31"/>
      <c r="K696" s="31"/>
      <c r="L696" s="77"/>
    </row>
    <row r="697" spans="1:12" x14ac:dyDescent="0.2">
      <c r="A697" s="613"/>
      <c r="B697" s="436"/>
      <c r="C697" s="49">
        <v>160</v>
      </c>
      <c r="D697" s="519"/>
      <c r="E697" s="579"/>
      <c r="F697" s="311"/>
      <c r="G697" s="47"/>
      <c r="H697" s="312"/>
      <c r="I697" s="238" t="s">
        <v>288</v>
      </c>
      <c r="J697" s="76"/>
      <c r="K697" s="76"/>
      <c r="L697" s="218"/>
    </row>
    <row r="698" spans="1:12" x14ac:dyDescent="0.2">
      <c r="A698" s="613"/>
      <c r="B698" s="436"/>
      <c r="D698" s="519"/>
      <c r="E698" s="579"/>
      <c r="F698" s="311"/>
      <c r="G698" s="47"/>
      <c r="H698" s="312"/>
      <c r="I698" s="26"/>
      <c r="J698" s="31"/>
      <c r="K698" s="31"/>
      <c r="L698" s="77"/>
    </row>
    <row r="699" spans="1:12" x14ac:dyDescent="0.2">
      <c r="A699" s="519"/>
      <c r="B699" s="49"/>
      <c r="D699" s="519"/>
      <c r="E699" s="579"/>
      <c r="F699" s="312" t="s">
        <v>787</v>
      </c>
      <c r="G699" s="55"/>
      <c r="H699" s="443">
        <v>423</v>
      </c>
      <c r="I699" s="270" t="s">
        <v>306</v>
      </c>
      <c r="J699" s="59">
        <v>4550000</v>
      </c>
      <c r="K699" s="118"/>
      <c r="L699" s="59">
        <f>SUM(J699+K699)</f>
        <v>4550000</v>
      </c>
    </row>
    <row r="700" spans="1:12" x14ac:dyDescent="0.2">
      <c r="A700" s="519"/>
      <c r="B700" s="49"/>
      <c r="D700" s="519"/>
      <c r="E700" s="579"/>
      <c r="F700" s="311"/>
      <c r="G700" s="47"/>
      <c r="H700" s="311"/>
      <c r="I700" s="229" t="s">
        <v>595</v>
      </c>
      <c r="J700" s="60">
        <f>SUM(J699)</f>
        <v>4550000</v>
      </c>
      <c r="K700" s="60"/>
      <c r="L700" s="60">
        <f>SUM(L699)</f>
        <v>4550000</v>
      </c>
    </row>
    <row r="701" spans="1:12" x14ac:dyDescent="0.2">
      <c r="A701" s="519"/>
      <c r="B701" s="49"/>
      <c r="D701" s="519"/>
      <c r="E701" s="579"/>
      <c r="F701" s="311"/>
      <c r="G701" s="55" t="s">
        <v>37</v>
      </c>
      <c r="H701" s="313"/>
      <c r="I701" s="65" t="s">
        <v>38</v>
      </c>
      <c r="J701" s="60">
        <f>SUM(J699)</f>
        <v>4550000</v>
      </c>
      <c r="K701" s="60"/>
      <c r="L701" s="60">
        <f>SUM(J701+K701)</f>
        <v>4550000</v>
      </c>
    </row>
    <row r="702" spans="1:12" x14ac:dyDescent="0.2">
      <c r="D702" s="519"/>
      <c r="E702" s="579"/>
      <c r="F702" s="311"/>
      <c r="G702" s="321"/>
      <c r="H702" s="647"/>
      <c r="I702" s="266"/>
      <c r="J702" s="30"/>
      <c r="K702" s="30"/>
      <c r="L702" s="61"/>
    </row>
    <row r="703" spans="1:12" x14ac:dyDescent="0.2">
      <c r="D703" s="49"/>
      <c r="E703" s="580"/>
      <c r="F703" s="439"/>
      <c r="G703" s="329"/>
      <c r="H703" s="457"/>
      <c r="I703" s="396" t="s">
        <v>272</v>
      </c>
      <c r="J703" s="397"/>
      <c r="K703" s="397"/>
      <c r="L703" s="415"/>
    </row>
    <row r="704" spans="1:12" x14ac:dyDescent="0.2">
      <c r="A704" s="711"/>
      <c r="B704" s="711"/>
      <c r="C704" s="646"/>
      <c r="D704" s="646"/>
      <c r="E704" s="580" t="s">
        <v>265</v>
      </c>
      <c r="F704" s="439"/>
      <c r="G704" s="329"/>
      <c r="H704" s="460"/>
      <c r="I704" s="398" t="s">
        <v>445</v>
      </c>
      <c r="J704" s="399"/>
      <c r="K704" s="399"/>
      <c r="L704" s="402"/>
    </row>
    <row r="705" spans="1:12" x14ac:dyDescent="0.2">
      <c r="D705" s="520"/>
      <c r="E705" s="579"/>
      <c r="F705" s="311"/>
      <c r="G705" s="321"/>
      <c r="H705" s="471"/>
      <c r="I705" s="266"/>
      <c r="J705" s="250"/>
      <c r="K705" s="250"/>
      <c r="L705" s="251"/>
    </row>
    <row r="706" spans="1:12" x14ac:dyDescent="0.2">
      <c r="C706" s="49">
        <v>487</v>
      </c>
      <c r="E706" s="579"/>
      <c r="F706" s="311"/>
      <c r="G706" s="47"/>
      <c r="H706" s="312"/>
      <c r="I706" s="238" t="s">
        <v>109</v>
      </c>
      <c r="J706" s="76"/>
      <c r="K706" s="76"/>
      <c r="L706" s="218"/>
    </row>
    <row r="707" spans="1:12" ht="22.5" x14ac:dyDescent="0.2">
      <c r="E707" s="579"/>
      <c r="F707" s="311">
        <v>122</v>
      </c>
      <c r="G707" s="47"/>
      <c r="H707" s="312" t="s">
        <v>82</v>
      </c>
      <c r="I707" s="219" t="s">
        <v>301</v>
      </c>
      <c r="J707" s="59">
        <v>12700000</v>
      </c>
      <c r="K707" s="59"/>
      <c r="L707" s="59">
        <f>SUM(J707+K707)</f>
        <v>12700000</v>
      </c>
    </row>
    <row r="708" spans="1:12" x14ac:dyDescent="0.2">
      <c r="E708" s="579"/>
      <c r="F708" s="311"/>
      <c r="G708" s="47"/>
      <c r="H708" s="312"/>
      <c r="I708" s="229" t="s">
        <v>595</v>
      </c>
      <c r="J708" s="60">
        <f>SUM(J707)</f>
        <v>12700000</v>
      </c>
      <c r="K708" s="60"/>
      <c r="L708" s="60">
        <f t="shared" ref="L708" si="43">SUM(L707)</f>
        <v>12700000</v>
      </c>
    </row>
    <row r="709" spans="1:12" x14ac:dyDescent="0.2">
      <c r="E709" s="579"/>
      <c r="F709" s="311"/>
      <c r="G709" s="47"/>
      <c r="H709" s="311"/>
      <c r="I709" s="238" t="s">
        <v>110</v>
      </c>
      <c r="J709" s="76"/>
      <c r="K709" s="76"/>
      <c r="L709" s="218"/>
    </row>
    <row r="710" spans="1:12" x14ac:dyDescent="0.2">
      <c r="E710" s="579"/>
      <c r="F710" s="311"/>
      <c r="G710" s="55" t="s">
        <v>37</v>
      </c>
      <c r="H710" s="313"/>
      <c r="I710" s="220" t="s">
        <v>38</v>
      </c>
      <c r="J710" s="59">
        <f>SUM(J708)</f>
        <v>12700000</v>
      </c>
      <c r="K710" s="59"/>
      <c r="L710" s="59">
        <f>SUM(J710:J710)</f>
        <v>12700000</v>
      </c>
    </row>
    <row r="711" spans="1:12" x14ac:dyDescent="0.2">
      <c r="D711" s="49"/>
      <c r="E711" s="579"/>
      <c r="F711" s="311"/>
      <c r="G711" s="55"/>
      <c r="H711" s="313"/>
      <c r="I711" s="126"/>
      <c r="J711" s="127"/>
      <c r="K711" s="127"/>
      <c r="L711" s="232"/>
    </row>
    <row r="712" spans="1:12" x14ac:dyDescent="0.2">
      <c r="D712" s="49"/>
      <c r="E712" s="580"/>
      <c r="F712" s="439"/>
      <c r="G712" s="329"/>
      <c r="H712" s="457"/>
      <c r="I712" s="396" t="s">
        <v>272</v>
      </c>
      <c r="J712" s="672"/>
      <c r="K712" s="672"/>
      <c r="L712" s="673"/>
    </row>
    <row r="713" spans="1:12" x14ac:dyDescent="0.2">
      <c r="D713" s="49"/>
      <c r="E713" s="580" t="s">
        <v>265</v>
      </c>
      <c r="F713" s="439"/>
      <c r="G713" s="329"/>
      <c r="H713" s="457"/>
      <c r="I713" s="713" t="s">
        <v>445</v>
      </c>
      <c r="J713" s="714"/>
      <c r="K713" s="714"/>
      <c r="L713" s="715"/>
    </row>
    <row r="714" spans="1:12" x14ac:dyDescent="0.2">
      <c r="D714" s="49"/>
      <c r="E714" s="579"/>
      <c r="F714" s="311"/>
      <c r="G714" s="47"/>
      <c r="H714" s="312"/>
      <c r="I714" s="18"/>
      <c r="J714" s="192"/>
      <c r="K714" s="192"/>
      <c r="L714" s="327"/>
    </row>
    <row r="715" spans="1:12" x14ac:dyDescent="0.2">
      <c r="C715" s="49">
        <v>950</v>
      </c>
      <c r="D715" s="49"/>
      <c r="E715" s="579"/>
      <c r="F715" s="311"/>
      <c r="G715" s="47"/>
      <c r="H715" s="312"/>
      <c r="I715" s="297" t="s">
        <v>78</v>
      </c>
      <c r="J715" s="364"/>
      <c r="K715" s="364"/>
      <c r="L715" s="365"/>
    </row>
    <row r="716" spans="1:12" ht="15" x14ac:dyDescent="0.2">
      <c r="A716" s="519"/>
      <c r="B716" s="49"/>
      <c r="C716" s="438"/>
      <c r="D716" s="519"/>
      <c r="E716" s="579"/>
      <c r="F716" s="311"/>
      <c r="G716" s="47"/>
      <c r="H716" s="312"/>
      <c r="I716" s="18"/>
      <c r="J716" s="192"/>
      <c r="K716" s="192"/>
      <c r="L716" s="327"/>
    </row>
    <row r="717" spans="1:12" ht="22.5" x14ac:dyDescent="0.2">
      <c r="A717" s="519"/>
      <c r="B717" s="49"/>
      <c r="C717" s="438"/>
      <c r="D717" s="519"/>
      <c r="E717" s="579"/>
      <c r="F717" s="311">
        <v>123</v>
      </c>
      <c r="G717" s="47"/>
      <c r="H717" s="312" t="s">
        <v>82</v>
      </c>
      <c r="I717" s="273" t="s">
        <v>309</v>
      </c>
      <c r="J717" s="59">
        <v>8115000</v>
      </c>
      <c r="K717" s="59"/>
      <c r="L717" s="59">
        <f>SUM(J717+K717)</f>
        <v>8115000</v>
      </c>
    </row>
    <row r="718" spans="1:12" ht="15" x14ac:dyDescent="0.2">
      <c r="A718" s="519"/>
      <c r="B718" s="49"/>
      <c r="C718" s="438"/>
      <c r="D718" s="519"/>
      <c r="E718" s="579"/>
      <c r="F718" s="311"/>
      <c r="G718" s="47"/>
      <c r="H718" s="312"/>
      <c r="I718" s="229" t="s">
        <v>605</v>
      </c>
      <c r="J718" s="60">
        <f>SUM(J717)</f>
        <v>8115000</v>
      </c>
      <c r="K718" s="60"/>
      <c r="L718" s="60">
        <f>SUM(L717)</f>
        <v>8115000</v>
      </c>
    </row>
    <row r="719" spans="1:12" x14ac:dyDescent="0.2">
      <c r="E719" s="579"/>
      <c r="F719" s="311"/>
      <c r="G719" s="55" t="s">
        <v>37</v>
      </c>
      <c r="H719" s="313"/>
      <c r="I719" s="220" t="s">
        <v>38</v>
      </c>
      <c r="J719" s="59">
        <f>SUM(J718)</f>
        <v>8115000</v>
      </c>
      <c r="K719" s="59"/>
      <c r="L719" s="59">
        <f>SUM(J719+K719)</f>
        <v>8115000</v>
      </c>
    </row>
    <row r="720" spans="1:12" x14ac:dyDescent="0.2">
      <c r="D720" s="519"/>
      <c r="E720" s="579"/>
      <c r="F720" s="311"/>
      <c r="G720" s="47"/>
      <c r="H720" s="312"/>
      <c r="I720" s="26"/>
      <c r="J720" s="192"/>
      <c r="K720" s="250"/>
      <c r="L720" s="327"/>
    </row>
    <row r="721" spans="1:12" x14ac:dyDescent="0.2">
      <c r="D721" s="49"/>
      <c r="E721" s="580"/>
      <c r="F721" s="439"/>
      <c r="G721" s="329"/>
      <c r="H721" s="457"/>
      <c r="I721" s="396" t="s">
        <v>274</v>
      </c>
      <c r="J721" s="397"/>
      <c r="K721" s="397"/>
      <c r="L721" s="331"/>
    </row>
    <row r="722" spans="1:12" x14ac:dyDescent="0.2">
      <c r="A722" s="711"/>
      <c r="B722" s="711"/>
      <c r="C722" s="646"/>
      <c r="D722" s="646"/>
      <c r="E722" s="580" t="s">
        <v>256</v>
      </c>
      <c r="F722" s="439"/>
      <c r="G722" s="329"/>
      <c r="H722" s="460"/>
      <c r="I722" s="398" t="s">
        <v>637</v>
      </c>
      <c r="J722" s="399"/>
      <c r="K722" s="399"/>
      <c r="L722" s="402"/>
    </row>
    <row r="723" spans="1:12" x14ac:dyDescent="0.2">
      <c r="D723" s="520"/>
      <c r="E723" s="579"/>
      <c r="F723" s="311"/>
      <c r="G723" s="321"/>
      <c r="H723" s="471"/>
      <c r="I723" s="266"/>
      <c r="J723" s="31"/>
      <c r="K723" s="31"/>
      <c r="L723" s="77"/>
    </row>
    <row r="724" spans="1:12" x14ac:dyDescent="0.2">
      <c r="C724" s="49">
        <v>490</v>
      </c>
      <c r="D724" s="520"/>
      <c r="E724" s="579"/>
      <c r="F724" s="311"/>
      <c r="G724" s="47"/>
      <c r="H724" s="312"/>
      <c r="I724" s="26" t="s">
        <v>111</v>
      </c>
      <c r="J724" s="31"/>
      <c r="K724" s="31"/>
      <c r="L724" s="77"/>
    </row>
    <row r="725" spans="1:12" x14ac:dyDescent="0.2">
      <c r="E725" s="579"/>
      <c r="F725" s="311"/>
      <c r="G725" s="47"/>
      <c r="H725" s="312"/>
      <c r="I725" s="26"/>
      <c r="J725" s="31"/>
      <c r="K725" s="31"/>
      <c r="L725" s="77"/>
    </row>
    <row r="726" spans="1:12" ht="22.5" x14ac:dyDescent="0.2">
      <c r="E726" s="579"/>
      <c r="F726" s="311">
        <v>124</v>
      </c>
      <c r="G726" s="47"/>
      <c r="H726" s="312" t="s">
        <v>82</v>
      </c>
      <c r="I726" s="272" t="s">
        <v>302</v>
      </c>
      <c r="J726" s="59">
        <v>9461603</v>
      </c>
      <c r="K726" s="59"/>
      <c r="L726" s="59">
        <f>SUM(J726:K726)</f>
        <v>9461603</v>
      </c>
    </row>
    <row r="727" spans="1:12" ht="29.25" customHeight="1" x14ac:dyDescent="0.2">
      <c r="E727" s="579"/>
      <c r="F727" s="311" t="s">
        <v>1030</v>
      </c>
      <c r="G727" s="47"/>
      <c r="H727" s="311">
        <v>451</v>
      </c>
      <c r="I727" s="272" t="s">
        <v>961</v>
      </c>
      <c r="J727" s="59">
        <v>2000000</v>
      </c>
      <c r="K727" s="59"/>
      <c r="L727" s="59">
        <f>SUM(J727:K727)</f>
        <v>2000000</v>
      </c>
    </row>
    <row r="728" spans="1:12" x14ac:dyDescent="0.2">
      <c r="B728" s="49"/>
      <c r="D728" s="519"/>
      <c r="E728" s="579"/>
      <c r="F728" s="311"/>
      <c r="G728" s="47"/>
      <c r="H728" s="312"/>
      <c r="I728" s="229" t="s">
        <v>615</v>
      </c>
      <c r="J728" s="60">
        <f>SUM(J726:J727)</f>
        <v>11461603</v>
      </c>
      <c r="K728" s="60"/>
      <c r="L728" s="60">
        <f>SUM(L726:L727)</f>
        <v>11461603</v>
      </c>
    </row>
    <row r="729" spans="1:12" x14ac:dyDescent="0.2">
      <c r="B729" s="49"/>
      <c r="D729" s="519"/>
      <c r="E729" s="579"/>
      <c r="F729" s="311"/>
      <c r="G729" s="55" t="s">
        <v>37</v>
      </c>
      <c r="H729" s="313"/>
      <c r="I729" s="220" t="s">
        <v>38</v>
      </c>
      <c r="J729" s="54">
        <f>SUM(J728-J730)</f>
        <v>10461603</v>
      </c>
      <c r="K729" s="60"/>
      <c r="L729" s="54">
        <f>SUM(J729:K729)</f>
        <v>10461603</v>
      </c>
    </row>
    <row r="730" spans="1:12" x14ac:dyDescent="0.2">
      <c r="B730" s="49"/>
      <c r="D730" s="519"/>
      <c r="E730" s="579"/>
      <c r="F730" s="311"/>
      <c r="G730" s="55" t="s">
        <v>113</v>
      </c>
      <c r="H730" s="313"/>
      <c r="I730" s="275" t="s">
        <v>280</v>
      </c>
      <c r="J730" s="54">
        <v>1000000</v>
      </c>
      <c r="K730" s="60"/>
      <c r="L730" s="54">
        <f>SUM(J730:K730)</f>
        <v>1000000</v>
      </c>
    </row>
    <row r="731" spans="1:12" x14ac:dyDescent="0.2">
      <c r="B731" s="49"/>
      <c r="D731" s="519"/>
      <c r="E731" s="579"/>
      <c r="F731" s="311"/>
      <c r="G731" s="47"/>
      <c r="H731" s="312"/>
      <c r="I731" s="906"/>
      <c r="J731" s="56"/>
      <c r="K731" s="60"/>
      <c r="L731" s="60"/>
    </row>
    <row r="732" spans="1:12" x14ac:dyDescent="0.2">
      <c r="A732" s="519"/>
      <c r="B732" s="49"/>
      <c r="C732" s="49">
        <v>160</v>
      </c>
      <c r="D732" s="519"/>
      <c r="E732" s="581">
        <v>1501</v>
      </c>
      <c r="F732" s="391"/>
      <c r="G732" s="334"/>
      <c r="H732" s="391"/>
      <c r="I732" s="395" t="s">
        <v>885</v>
      </c>
      <c r="J732" s="80"/>
      <c r="K732" s="80"/>
      <c r="L732" s="260"/>
    </row>
    <row r="733" spans="1:12" x14ac:dyDescent="0.2">
      <c r="A733" s="519"/>
      <c r="B733" s="49"/>
      <c r="D733" s="519"/>
      <c r="E733" s="579"/>
      <c r="F733" s="311">
        <v>125</v>
      </c>
      <c r="G733" s="47"/>
      <c r="H733" s="311">
        <v>481</v>
      </c>
      <c r="I733" s="220" t="s">
        <v>171</v>
      </c>
      <c r="J733" s="59">
        <v>10230000</v>
      </c>
      <c r="K733" s="60"/>
      <c r="L733" s="59">
        <f>SUM(J733+K733)</f>
        <v>10230000</v>
      </c>
    </row>
    <row r="734" spans="1:12" x14ac:dyDescent="0.2">
      <c r="A734" s="519"/>
      <c r="B734" s="49"/>
      <c r="D734" s="519"/>
      <c r="E734" s="579"/>
      <c r="F734" s="311"/>
      <c r="G734" s="47"/>
      <c r="H734" s="311"/>
      <c r="I734" s="235" t="s">
        <v>710</v>
      </c>
      <c r="J734" s="60">
        <f>SUM(J733)</f>
        <v>10230000</v>
      </c>
      <c r="K734" s="60"/>
      <c r="L734" s="60">
        <f t="shared" ref="L734" si="44">SUM(L733)</f>
        <v>10230000</v>
      </c>
    </row>
    <row r="735" spans="1:12" ht="15" x14ac:dyDescent="0.25">
      <c r="A735" s="519"/>
      <c r="B735" s="49"/>
      <c r="D735" s="519"/>
      <c r="E735" s="579"/>
      <c r="F735" s="311"/>
      <c r="G735" s="55" t="s">
        <v>37</v>
      </c>
      <c r="H735" s="314"/>
      <c r="I735" s="220" t="s">
        <v>38</v>
      </c>
      <c r="J735" s="59">
        <f>SUM(J734)</f>
        <v>10230000</v>
      </c>
      <c r="K735" s="59"/>
      <c r="L735" s="59">
        <f>SUM(J735+K735)</f>
        <v>10230000</v>
      </c>
    </row>
    <row r="736" spans="1:12" ht="15" x14ac:dyDescent="0.25">
      <c r="A736" s="519"/>
      <c r="B736" s="49"/>
      <c r="D736" s="519"/>
      <c r="E736" s="579"/>
      <c r="F736" s="311"/>
      <c r="G736" s="55"/>
      <c r="H736" s="314"/>
      <c r="I736" s="236"/>
      <c r="J736" s="76"/>
      <c r="K736" s="76"/>
      <c r="L736" s="218"/>
    </row>
    <row r="737" spans="1:12" ht="22.5" x14ac:dyDescent="0.2">
      <c r="A737" s="519"/>
      <c r="B737" s="49"/>
      <c r="D737" s="519"/>
      <c r="E737" s="581">
        <v>1501</v>
      </c>
      <c r="F737" s="391"/>
      <c r="G737" s="334"/>
      <c r="H737" s="391"/>
      <c r="I737" s="395" t="s">
        <v>1052</v>
      </c>
      <c r="J737" s="80"/>
      <c r="K737" s="80"/>
      <c r="L737" s="260"/>
    </row>
    <row r="738" spans="1:12" x14ac:dyDescent="0.2">
      <c r="A738" s="519"/>
      <c r="B738" s="49"/>
      <c r="D738" s="519"/>
      <c r="E738" s="579"/>
      <c r="F738" s="311" t="s">
        <v>1053</v>
      </c>
      <c r="G738" s="47"/>
      <c r="H738" s="311">
        <v>481</v>
      </c>
      <c r="I738" s="220" t="s">
        <v>1055</v>
      </c>
      <c r="J738" s="59">
        <v>40000</v>
      </c>
      <c r="K738" s="60"/>
      <c r="L738" s="59">
        <f>SUM(J738+K738)</f>
        <v>40000</v>
      </c>
    </row>
    <row r="739" spans="1:12" x14ac:dyDescent="0.2">
      <c r="A739" s="519"/>
      <c r="B739" s="49"/>
      <c r="D739" s="519"/>
      <c r="E739" s="579"/>
      <c r="F739" s="311" t="s">
        <v>1054</v>
      </c>
      <c r="G739" s="47"/>
      <c r="H739" s="311">
        <v>481</v>
      </c>
      <c r="I739" s="220" t="s">
        <v>1056</v>
      </c>
      <c r="J739" s="54">
        <v>25000</v>
      </c>
      <c r="K739" s="60"/>
      <c r="L739" s="59">
        <f t="shared" ref="L739:L740" si="45">SUM(J739+K739)</f>
        <v>25000</v>
      </c>
    </row>
    <row r="740" spans="1:12" x14ac:dyDescent="0.2">
      <c r="A740" s="519"/>
      <c r="B740" s="49"/>
      <c r="D740" s="519"/>
      <c r="E740" s="579"/>
      <c r="F740" s="311"/>
      <c r="G740" s="47"/>
      <c r="H740" s="311"/>
      <c r="I740" s="235" t="s">
        <v>710</v>
      </c>
      <c r="J740" s="60">
        <f>SUM(J738:J739)</f>
        <v>65000</v>
      </c>
      <c r="K740" s="60"/>
      <c r="L740" s="199">
        <f t="shared" si="45"/>
        <v>65000</v>
      </c>
    </row>
    <row r="741" spans="1:12" ht="15" x14ac:dyDescent="0.25">
      <c r="A741" s="519"/>
      <c r="B741" s="49"/>
      <c r="D741" s="519"/>
      <c r="E741" s="579"/>
      <c r="F741" s="311"/>
      <c r="G741" s="55" t="s">
        <v>37</v>
      </c>
      <c r="H741" s="314"/>
      <c r="I741" s="220" t="s">
        <v>38</v>
      </c>
      <c r="J741" s="59">
        <f>SUM(J740)</f>
        <v>65000</v>
      </c>
      <c r="K741" s="59"/>
      <c r="L741" s="59">
        <f>SUM(J741+K741)</f>
        <v>65000</v>
      </c>
    </row>
    <row r="742" spans="1:12" ht="15" x14ac:dyDescent="0.25">
      <c r="A742" s="519"/>
      <c r="B742" s="49"/>
      <c r="D742" s="519"/>
      <c r="E742" s="579"/>
      <c r="F742" s="311"/>
      <c r="G742" s="55"/>
      <c r="H742" s="314"/>
      <c r="I742" s="238"/>
      <c r="J742" s="326"/>
      <c r="K742" s="326"/>
      <c r="L742" s="57"/>
    </row>
    <row r="743" spans="1:12" ht="22.5" x14ac:dyDescent="0.2">
      <c r="B743" s="49"/>
      <c r="C743" s="49">
        <v>490</v>
      </c>
      <c r="D743" s="519"/>
      <c r="E743" s="581" t="s">
        <v>253</v>
      </c>
      <c r="F743" s="391"/>
      <c r="G743" s="407"/>
      <c r="H743" s="393"/>
      <c r="I743" s="401" t="s">
        <v>884</v>
      </c>
      <c r="J743" s="261"/>
      <c r="K743" s="326"/>
      <c r="L743" s="57"/>
    </row>
    <row r="744" spans="1:12" x14ac:dyDescent="0.2">
      <c r="B744" s="49"/>
      <c r="D744" s="519"/>
      <c r="E744" s="579"/>
      <c r="F744" s="311">
        <v>126</v>
      </c>
      <c r="G744" s="47"/>
      <c r="H744" s="312" t="s">
        <v>46</v>
      </c>
      <c r="I744" s="220" t="s">
        <v>10</v>
      </c>
      <c r="J744" s="64">
        <v>600000</v>
      </c>
      <c r="K744" s="59"/>
      <c r="L744" s="59">
        <f>SUM(J744:K744)</f>
        <v>600000</v>
      </c>
    </row>
    <row r="745" spans="1:12" x14ac:dyDescent="0.2">
      <c r="B745" s="49"/>
      <c r="D745" s="519"/>
      <c r="E745" s="579"/>
      <c r="F745" s="311"/>
      <c r="G745" s="55" t="s">
        <v>37</v>
      </c>
      <c r="H745" s="313"/>
      <c r="I745" s="220" t="s">
        <v>38</v>
      </c>
      <c r="J745" s="64">
        <f>SUM(J744)</f>
        <v>600000</v>
      </c>
      <c r="K745" s="59"/>
      <c r="L745" s="59">
        <f>SUM(J744:K744)</f>
        <v>600000</v>
      </c>
    </row>
    <row r="746" spans="1:12" x14ac:dyDescent="0.2">
      <c r="E746" s="579"/>
      <c r="F746" s="311"/>
      <c r="G746" s="47"/>
      <c r="H746" s="312"/>
      <c r="I746" s="229" t="s">
        <v>710</v>
      </c>
      <c r="J746" s="56">
        <f>SUM(J745)</f>
        <v>600000</v>
      </c>
      <c r="K746" s="60"/>
      <c r="L746" s="60">
        <f>SUM(J745:K745)</f>
        <v>600000</v>
      </c>
    </row>
    <row r="747" spans="1:12" x14ac:dyDescent="0.2">
      <c r="D747" s="520"/>
      <c r="E747" s="579"/>
      <c r="F747" s="311"/>
      <c r="G747" s="47"/>
      <c r="H747" s="312"/>
      <c r="I747" s="26"/>
      <c r="J747" s="192"/>
      <c r="K747" s="192"/>
      <c r="L747" s="327"/>
    </row>
    <row r="748" spans="1:12" x14ac:dyDescent="0.2">
      <c r="A748" s="519"/>
      <c r="B748" s="49"/>
      <c r="C748" s="49">
        <v>490</v>
      </c>
      <c r="E748" s="579"/>
      <c r="F748" s="311"/>
      <c r="G748" s="47"/>
      <c r="H748" s="312"/>
      <c r="I748" s="238" t="s">
        <v>111</v>
      </c>
      <c r="J748" s="76"/>
      <c r="K748" s="76"/>
      <c r="L748" s="218"/>
    </row>
    <row r="749" spans="1:12" x14ac:dyDescent="0.2">
      <c r="A749" s="519"/>
      <c r="B749" s="49"/>
      <c r="E749" s="579"/>
      <c r="F749" s="311"/>
      <c r="G749" s="47"/>
      <c r="H749" s="311"/>
      <c r="I749" s="28"/>
      <c r="J749" s="30"/>
      <c r="K749" s="30"/>
      <c r="L749" s="61"/>
    </row>
    <row r="750" spans="1:12" x14ac:dyDescent="0.2">
      <c r="A750" s="519"/>
      <c r="B750" s="49"/>
      <c r="E750" s="581" t="s">
        <v>253</v>
      </c>
      <c r="F750" s="391"/>
      <c r="G750" s="334"/>
      <c r="H750" s="391"/>
      <c r="I750" s="403" t="s">
        <v>883</v>
      </c>
      <c r="J750" s="326"/>
      <c r="K750" s="326"/>
      <c r="L750" s="57"/>
    </row>
    <row r="751" spans="1:12" x14ac:dyDescent="0.2">
      <c r="B751" s="49"/>
      <c r="E751" s="579"/>
      <c r="F751" s="311">
        <v>127</v>
      </c>
      <c r="G751" s="47"/>
      <c r="H751" s="311">
        <v>454</v>
      </c>
      <c r="I751" s="270" t="s">
        <v>470</v>
      </c>
      <c r="J751" s="59">
        <v>13370000</v>
      </c>
      <c r="K751" s="59"/>
      <c r="L751" s="59">
        <f>SUM(J751+K751)</f>
        <v>13370000</v>
      </c>
    </row>
    <row r="752" spans="1:12" x14ac:dyDescent="0.2">
      <c r="B752" s="49"/>
      <c r="D752" s="519"/>
      <c r="E752" s="579"/>
      <c r="F752" s="311"/>
      <c r="G752" s="47"/>
      <c r="H752" s="311"/>
      <c r="I752" s="229" t="s">
        <v>710</v>
      </c>
      <c r="J752" s="56">
        <f>SUM(J751)</f>
        <v>13370000</v>
      </c>
      <c r="K752" s="60"/>
      <c r="L752" s="60">
        <f>SUM(J752+K752)</f>
        <v>13370000</v>
      </c>
    </row>
    <row r="753" spans="1:12" x14ac:dyDescent="0.2">
      <c r="B753" s="185"/>
      <c r="C753" s="185"/>
      <c r="D753" s="517"/>
      <c r="E753" s="579"/>
      <c r="F753" s="319"/>
      <c r="G753" s="55" t="s">
        <v>37</v>
      </c>
      <c r="H753" s="313"/>
      <c r="I753" s="220" t="s">
        <v>38</v>
      </c>
      <c r="J753" s="64">
        <f>SUM(J752)</f>
        <v>13370000</v>
      </c>
      <c r="K753" s="60"/>
      <c r="L753" s="59">
        <f>SUM(J753+K753)</f>
        <v>13370000</v>
      </c>
    </row>
    <row r="754" spans="1:12" x14ac:dyDescent="0.2">
      <c r="D754" s="520"/>
      <c r="E754" s="579"/>
      <c r="F754" s="311"/>
      <c r="G754" s="79"/>
      <c r="H754" s="319"/>
      <c r="I754" s="186"/>
      <c r="J754" s="192"/>
      <c r="K754" s="192"/>
      <c r="L754" s="327"/>
    </row>
    <row r="755" spans="1:12" x14ac:dyDescent="0.2">
      <c r="A755" s="519"/>
      <c r="B755" s="49"/>
      <c r="C755" s="49">
        <v>490</v>
      </c>
      <c r="E755" s="579"/>
      <c r="F755" s="311"/>
      <c r="G755" s="47"/>
      <c r="H755" s="312"/>
      <c r="I755" s="238" t="s">
        <v>111</v>
      </c>
      <c r="J755" s="362"/>
      <c r="K755" s="362"/>
      <c r="L755" s="363"/>
    </row>
    <row r="756" spans="1:12" x14ac:dyDescent="0.2">
      <c r="A756" s="519"/>
      <c r="B756" s="49"/>
      <c r="E756" s="579"/>
      <c r="F756" s="311"/>
      <c r="G756" s="47"/>
      <c r="H756" s="311"/>
      <c r="I756" s="28"/>
      <c r="J756" s="30"/>
      <c r="K756" s="30"/>
      <c r="L756" s="61"/>
    </row>
    <row r="757" spans="1:12" ht="22.5" x14ac:dyDescent="0.2">
      <c r="A757" s="519"/>
      <c r="B757" s="49"/>
      <c r="E757" s="581" t="s">
        <v>253</v>
      </c>
      <c r="F757" s="391"/>
      <c r="G757" s="334"/>
      <c r="H757" s="391"/>
      <c r="I757" s="336" t="s">
        <v>882</v>
      </c>
      <c r="J757" s="326"/>
      <c r="K757" s="326"/>
      <c r="L757" s="57"/>
    </row>
    <row r="758" spans="1:12" x14ac:dyDescent="0.2">
      <c r="B758" s="49"/>
      <c r="E758" s="579"/>
      <c r="F758" s="311">
        <v>128</v>
      </c>
      <c r="G758" s="47"/>
      <c r="H758" s="311">
        <v>454</v>
      </c>
      <c r="I758" s="270" t="s">
        <v>470</v>
      </c>
      <c r="J758" s="59">
        <v>5000000</v>
      </c>
      <c r="K758" s="59"/>
      <c r="L758" s="59">
        <f>SUM(J758+K758)</f>
        <v>5000000</v>
      </c>
    </row>
    <row r="759" spans="1:12" x14ac:dyDescent="0.2">
      <c r="B759" s="185"/>
      <c r="C759" s="185"/>
      <c r="D759" s="517"/>
      <c r="E759" s="579"/>
      <c r="F759" s="311"/>
      <c r="G759" s="47"/>
      <c r="H759" s="311"/>
      <c r="I759" s="229" t="s">
        <v>704</v>
      </c>
      <c r="J759" s="56">
        <f>SUM(J758)</f>
        <v>5000000</v>
      </c>
      <c r="K759" s="60"/>
      <c r="L759" s="60">
        <f>SUM(J759+K759)</f>
        <v>5000000</v>
      </c>
    </row>
    <row r="760" spans="1:12" x14ac:dyDescent="0.2">
      <c r="B760" s="185"/>
      <c r="C760" s="185"/>
      <c r="D760" s="517"/>
      <c r="E760" s="579"/>
      <c r="F760" s="311"/>
      <c r="G760" s="55" t="s">
        <v>37</v>
      </c>
      <c r="H760" s="313"/>
      <c r="I760" s="220" t="s">
        <v>38</v>
      </c>
      <c r="J760" s="64">
        <f>SUM(J759)</f>
        <v>5000000</v>
      </c>
      <c r="K760" s="60"/>
      <c r="L760" s="59">
        <f>SUM(J760+K760)</f>
        <v>5000000</v>
      </c>
    </row>
    <row r="761" spans="1:12" x14ac:dyDescent="0.2">
      <c r="D761" s="520"/>
      <c r="E761" s="579"/>
      <c r="F761" s="311"/>
      <c r="G761" s="47"/>
      <c r="H761" s="311"/>
      <c r="I761" s="26"/>
      <c r="J761" s="30"/>
      <c r="K761" s="30"/>
      <c r="L761" s="61"/>
    </row>
    <row r="762" spans="1:12" x14ac:dyDescent="0.2">
      <c r="A762" s="519"/>
      <c r="B762" s="49"/>
      <c r="C762" s="49">
        <v>490</v>
      </c>
      <c r="E762" s="579"/>
      <c r="F762" s="311"/>
      <c r="G762" s="47"/>
      <c r="H762" s="312"/>
      <c r="I762" s="238" t="s">
        <v>111</v>
      </c>
      <c r="J762" s="362"/>
      <c r="K762" s="362"/>
      <c r="L762" s="363"/>
    </row>
    <row r="763" spans="1:12" x14ac:dyDescent="0.2">
      <c r="A763" s="519"/>
      <c r="B763" s="49"/>
      <c r="E763" s="579"/>
      <c r="F763" s="311"/>
      <c r="G763" s="47"/>
      <c r="H763" s="311"/>
      <c r="I763" s="28"/>
      <c r="J763" s="192"/>
      <c r="K763" s="192"/>
      <c r="L763" s="327"/>
    </row>
    <row r="764" spans="1:12" x14ac:dyDescent="0.2">
      <c r="A764" s="519"/>
      <c r="B764" s="49"/>
      <c r="E764" s="581" t="s">
        <v>253</v>
      </c>
      <c r="F764" s="391"/>
      <c r="G764" s="334"/>
      <c r="H764" s="391"/>
      <c r="I764" s="404" t="s">
        <v>881</v>
      </c>
      <c r="J764" s="80"/>
      <c r="K764" s="80"/>
      <c r="L764" s="260"/>
    </row>
    <row r="765" spans="1:12" x14ac:dyDescent="0.2">
      <c r="A765" s="519"/>
      <c r="B765" s="49"/>
      <c r="E765" s="579"/>
      <c r="F765" s="311">
        <v>129</v>
      </c>
      <c r="G765" s="47"/>
      <c r="H765" s="311">
        <v>423</v>
      </c>
      <c r="I765" s="226" t="s">
        <v>682</v>
      </c>
      <c r="J765" s="59">
        <v>600000</v>
      </c>
      <c r="K765" s="59"/>
      <c r="L765" s="59">
        <f>SUM(J765:K765)</f>
        <v>600000</v>
      </c>
    </row>
    <row r="766" spans="1:12" ht="22.5" x14ac:dyDescent="0.2">
      <c r="A766" s="519"/>
      <c r="B766" s="49"/>
      <c r="E766" s="579"/>
      <c r="F766" s="311">
        <v>130</v>
      </c>
      <c r="G766" s="47"/>
      <c r="H766" s="311">
        <v>423</v>
      </c>
      <c r="I766" s="226" t="s">
        <v>683</v>
      </c>
      <c r="J766" s="59">
        <v>600000</v>
      </c>
      <c r="K766" s="59"/>
      <c r="L766" s="59">
        <f>SUM(J765:K765)</f>
        <v>600000</v>
      </c>
    </row>
    <row r="767" spans="1:12" x14ac:dyDescent="0.2">
      <c r="B767" s="49"/>
      <c r="E767" s="579"/>
      <c r="F767" s="311">
        <v>131</v>
      </c>
      <c r="G767" s="47"/>
      <c r="H767" s="311">
        <v>424</v>
      </c>
      <c r="I767" s="270" t="s">
        <v>10</v>
      </c>
      <c r="J767" s="59">
        <v>11300000</v>
      </c>
      <c r="K767" s="59"/>
      <c r="L767" s="59">
        <f>SUM(J767+K767)</f>
        <v>11300000</v>
      </c>
    </row>
    <row r="768" spans="1:12" x14ac:dyDescent="0.2">
      <c r="B768" s="185"/>
      <c r="C768" s="185"/>
      <c r="D768" s="517"/>
      <c r="E768" s="579"/>
      <c r="F768" s="319"/>
      <c r="G768" s="47"/>
      <c r="H768" s="311"/>
      <c r="I768" s="229" t="s">
        <v>710</v>
      </c>
      <c r="J768" s="258">
        <f>SUM(J765:J767)</f>
        <v>12500000</v>
      </c>
      <c r="K768" s="60"/>
      <c r="L768" s="60">
        <f>SUM(J768+K768)</f>
        <v>12500000</v>
      </c>
    </row>
    <row r="769" spans="1:14" x14ac:dyDescent="0.2">
      <c r="B769" s="185"/>
      <c r="C769" s="185"/>
      <c r="D769" s="517"/>
      <c r="E769" s="579"/>
      <c r="F769" s="319"/>
      <c r="G769" s="318" t="s">
        <v>37</v>
      </c>
      <c r="H769" s="313"/>
      <c r="I769" s="275" t="s">
        <v>38</v>
      </c>
      <c r="J769" s="53">
        <f>SUM(J768)</f>
        <v>12500000</v>
      </c>
      <c r="K769" s="199"/>
      <c r="L769" s="54">
        <f>SUM(J769+K769)</f>
        <v>12500000</v>
      </c>
    </row>
    <row r="770" spans="1:14" x14ac:dyDescent="0.2">
      <c r="B770" s="185"/>
      <c r="C770" s="185"/>
      <c r="D770" s="517"/>
      <c r="E770" s="579"/>
      <c r="F770" s="319"/>
      <c r="G770" s="318"/>
      <c r="H770" s="313"/>
      <c r="I770" s="700"/>
      <c r="J770" s="262"/>
      <c r="K770" s="192"/>
      <c r="L770" s="251"/>
    </row>
    <row r="771" spans="1:14" x14ac:dyDescent="0.2">
      <c r="B771" s="185"/>
      <c r="C771" s="185">
        <v>490</v>
      </c>
      <c r="D771" s="517"/>
      <c r="E771" s="581" t="s">
        <v>253</v>
      </c>
      <c r="F771" s="391"/>
      <c r="G771" s="334"/>
      <c r="H771" s="391"/>
      <c r="I771" s="403" t="s">
        <v>716</v>
      </c>
      <c r="J771" s="326"/>
      <c r="K771" s="326"/>
      <c r="L771" s="57"/>
    </row>
    <row r="772" spans="1:14" x14ac:dyDescent="0.2">
      <c r="B772" s="185"/>
      <c r="C772" s="185"/>
      <c r="D772" s="517"/>
      <c r="E772" s="579"/>
      <c r="F772" s="311">
        <v>132</v>
      </c>
      <c r="G772" s="47"/>
      <c r="H772" s="311">
        <v>511</v>
      </c>
      <c r="I772" s="270" t="s">
        <v>584</v>
      </c>
      <c r="J772" s="59">
        <v>500000</v>
      </c>
      <c r="K772" s="59"/>
      <c r="L772" s="59">
        <f>SUM(J772+K772)</f>
        <v>500000</v>
      </c>
    </row>
    <row r="773" spans="1:14" x14ac:dyDescent="0.2">
      <c r="B773" s="185"/>
      <c r="C773" s="185"/>
      <c r="D773" s="517"/>
      <c r="E773" s="579"/>
      <c r="F773" s="311"/>
      <c r="G773" s="47"/>
      <c r="H773" s="311"/>
      <c r="I773" s="65" t="s">
        <v>710</v>
      </c>
      <c r="J773" s="56">
        <f>SUM(J772)</f>
        <v>500000</v>
      </c>
      <c r="K773" s="60"/>
      <c r="L773" s="60">
        <f>SUM(J773+K773)</f>
        <v>500000</v>
      </c>
    </row>
    <row r="774" spans="1:14" x14ac:dyDescent="0.2">
      <c r="B774" s="185"/>
      <c r="C774" s="185"/>
      <c r="D774" s="517"/>
      <c r="E774" s="579"/>
      <c r="F774" s="311"/>
      <c r="G774" s="55" t="s">
        <v>37</v>
      </c>
      <c r="H774" s="313"/>
      <c r="I774" s="220" t="s">
        <v>38</v>
      </c>
      <c r="J774" s="64">
        <f>SUM(J773)</f>
        <v>500000</v>
      </c>
      <c r="K774" s="60"/>
      <c r="L774" s="59">
        <f>SUM(J774+K774)</f>
        <v>500000</v>
      </c>
    </row>
    <row r="775" spans="1:14" x14ac:dyDescent="0.2">
      <c r="A775" s="519"/>
      <c r="B775" s="49"/>
      <c r="D775" s="49"/>
      <c r="E775" s="579"/>
      <c r="F775" s="311"/>
      <c r="G775" s="79"/>
      <c r="H775" s="311"/>
      <c r="I775" s="186"/>
      <c r="J775" s="192"/>
      <c r="K775" s="192"/>
      <c r="L775" s="327"/>
    </row>
    <row r="776" spans="1:14" x14ac:dyDescent="0.2">
      <c r="A776" s="519"/>
      <c r="B776" s="49"/>
      <c r="C776" s="49">
        <v>474</v>
      </c>
      <c r="E776" s="579"/>
      <c r="F776" s="311"/>
      <c r="G776" s="47"/>
      <c r="H776" s="311"/>
      <c r="I776" s="287" t="s">
        <v>114</v>
      </c>
      <c r="J776" s="76"/>
      <c r="K776" s="76"/>
      <c r="L776" s="218"/>
    </row>
    <row r="777" spans="1:14" x14ac:dyDescent="0.2">
      <c r="A777" s="519"/>
      <c r="B777" s="49"/>
      <c r="E777" s="579"/>
      <c r="F777" s="311"/>
      <c r="G777" s="47"/>
      <c r="H777" s="313"/>
      <c r="I777" s="28"/>
      <c r="J777" s="30"/>
      <c r="K777" s="30"/>
      <c r="L777" s="61"/>
    </row>
    <row r="778" spans="1:14" x14ac:dyDescent="0.2">
      <c r="A778" s="519"/>
      <c r="B778" s="49"/>
      <c r="E778" s="581" t="s">
        <v>253</v>
      </c>
      <c r="F778" s="391"/>
      <c r="G778" s="334"/>
      <c r="H778" s="461"/>
      <c r="I778" s="403" t="s">
        <v>1024</v>
      </c>
      <c r="J778" s="326"/>
      <c r="K778" s="326"/>
      <c r="L778" s="57"/>
    </row>
    <row r="779" spans="1:14" x14ac:dyDescent="0.2">
      <c r="B779" s="49"/>
      <c r="E779" s="579"/>
      <c r="F779" s="311">
        <v>133</v>
      </c>
      <c r="G779" s="47"/>
      <c r="H779" s="311">
        <v>472</v>
      </c>
      <c r="I779" s="270" t="s">
        <v>304</v>
      </c>
      <c r="J779" s="59">
        <v>8000000</v>
      </c>
      <c r="K779" s="59"/>
      <c r="L779" s="59">
        <f>SUM(J779+K779)</f>
        <v>8000000</v>
      </c>
    </row>
    <row r="780" spans="1:14" x14ac:dyDescent="0.2">
      <c r="B780" s="49"/>
      <c r="D780" s="519"/>
      <c r="E780" s="579"/>
      <c r="F780" s="311"/>
      <c r="G780" s="47"/>
      <c r="H780" s="313"/>
      <c r="I780" s="65" t="s">
        <v>710</v>
      </c>
      <c r="J780" s="56">
        <f>SUM(J779)</f>
        <v>8000000</v>
      </c>
      <c r="K780" s="60"/>
      <c r="L780" s="60">
        <f>SUM(J780+K780)</f>
        <v>8000000</v>
      </c>
    </row>
    <row r="781" spans="1:14" x14ac:dyDescent="0.2">
      <c r="B781" s="49"/>
      <c r="D781" s="519"/>
      <c r="E781" s="579"/>
      <c r="F781" s="311"/>
      <c r="G781" s="55" t="s">
        <v>37</v>
      </c>
      <c r="H781" s="311"/>
      <c r="I781" s="220" t="s">
        <v>38</v>
      </c>
      <c r="J781" s="64">
        <f>SUM(J780-J782)</f>
        <v>8000000</v>
      </c>
      <c r="K781" s="60"/>
      <c r="L781" s="59">
        <f>SUM(J781+K781)</f>
        <v>8000000</v>
      </c>
    </row>
    <row r="782" spans="1:14" x14ac:dyDescent="0.2">
      <c r="A782" s="519"/>
      <c r="B782" s="49"/>
      <c r="E782" s="579"/>
      <c r="F782" s="311"/>
      <c r="G782" s="55"/>
      <c r="H782" s="313"/>
      <c r="I782" s="217"/>
      <c r="J782" s="187"/>
      <c r="K782" s="30"/>
      <c r="L782" s="31"/>
    </row>
    <row r="783" spans="1:14" ht="22.5" x14ac:dyDescent="0.2">
      <c r="A783" s="519"/>
      <c r="B783" s="49"/>
      <c r="E783" s="581" t="s">
        <v>253</v>
      </c>
      <c r="F783" s="391"/>
      <c r="G783" s="334"/>
      <c r="H783" s="440"/>
      <c r="I783" s="336" t="s">
        <v>880</v>
      </c>
      <c r="J783" s="326"/>
      <c r="K783" s="326"/>
      <c r="L783" s="57"/>
    </row>
    <row r="784" spans="1:14" x14ac:dyDescent="0.2">
      <c r="B784" s="49"/>
      <c r="E784" s="579"/>
      <c r="F784" s="311">
        <v>134</v>
      </c>
      <c r="G784" s="47"/>
      <c r="H784" s="311">
        <v>472</v>
      </c>
      <c r="I784" s="270" t="s">
        <v>304</v>
      </c>
      <c r="J784" s="59">
        <v>3000000</v>
      </c>
      <c r="K784" s="59"/>
      <c r="L784" s="59">
        <f>SUM(J784+K784)</f>
        <v>3000000</v>
      </c>
      <c r="N784" s="942"/>
    </row>
    <row r="785" spans="1:16" x14ac:dyDescent="0.2">
      <c r="B785" s="49"/>
      <c r="D785" s="519"/>
      <c r="E785" s="579"/>
      <c r="F785" s="311"/>
      <c r="G785" s="47"/>
      <c r="H785" s="311"/>
      <c r="I785" s="65" t="s">
        <v>710</v>
      </c>
      <c r="J785" s="56">
        <f>SUM(J784)</f>
        <v>3000000</v>
      </c>
      <c r="K785" s="60"/>
      <c r="L785" s="60">
        <f>SUM(J785+K785)</f>
        <v>3000000</v>
      </c>
    </row>
    <row r="786" spans="1:16" x14ac:dyDescent="0.2">
      <c r="B786" s="185"/>
      <c r="C786" s="185"/>
      <c r="D786" s="517"/>
      <c r="E786" s="579"/>
      <c r="F786" s="319"/>
      <c r="G786" s="55" t="s">
        <v>37</v>
      </c>
      <c r="H786" s="313"/>
      <c r="I786" s="220" t="s">
        <v>38</v>
      </c>
      <c r="J786" s="64">
        <f>SUM(J785-J787)</f>
        <v>1500000</v>
      </c>
      <c r="K786" s="60"/>
      <c r="L786" s="59">
        <f>SUM(J786+K786)</f>
        <v>1500000</v>
      </c>
    </row>
    <row r="787" spans="1:16" x14ac:dyDescent="0.2">
      <c r="A787" s="519"/>
      <c r="B787" s="49"/>
      <c r="E787" s="579"/>
      <c r="F787" s="311"/>
      <c r="G787" s="55" t="s">
        <v>113</v>
      </c>
      <c r="H787" s="311"/>
      <c r="I787" s="220" t="s">
        <v>280</v>
      </c>
      <c r="J787" s="76">
        <v>1500000</v>
      </c>
      <c r="K787" s="364"/>
      <c r="L787" s="59">
        <f>SUM(J787+K787)</f>
        <v>1500000</v>
      </c>
    </row>
    <row r="788" spans="1:16" x14ac:dyDescent="0.2">
      <c r="A788" s="519"/>
      <c r="B788" s="49"/>
      <c r="E788" s="579"/>
      <c r="F788" s="311"/>
      <c r="G788" s="47"/>
      <c r="H788" s="313"/>
      <c r="I788" s="255"/>
      <c r="J788" s="80"/>
      <c r="K788" s="127"/>
      <c r="L788" s="232"/>
    </row>
    <row r="789" spans="1:16" x14ac:dyDescent="0.2">
      <c r="A789" s="519"/>
      <c r="B789" s="49"/>
      <c r="E789" s="581" t="s">
        <v>253</v>
      </c>
      <c r="F789" s="391"/>
      <c r="G789" s="334"/>
      <c r="H789" s="391"/>
      <c r="I789" s="404" t="s">
        <v>878</v>
      </c>
      <c r="J789" s="80"/>
      <c r="K789" s="80"/>
      <c r="L789" s="260"/>
    </row>
    <row r="790" spans="1:16" x14ac:dyDescent="0.2">
      <c r="A790" s="519"/>
      <c r="B790" s="49"/>
      <c r="E790" s="579"/>
      <c r="F790" s="311">
        <v>135</v>
      </c>
      <c r="G790" s="47"/>
      <c r="H790" s="311">
        <v>424</v>
      </c>
      <c r="I790" s="270" t="s">
        <v>116</v>
      </c>
      <c r="J790" s="59">
        <v>21900000</v>
      </c>
      <c r="K790" s="59"/>
      <c r="L790" s="59">
        <f>SUM(J790+K790)</f>
        <v>21900000</v>
      </c>
    </row>
    <row r="791" spans="1:16" x14ac:dyDescent="0.2">
      <c r="A791" s="519"/>
      <c r="B791" s="49"/>
      <c r="E791" s="579"/>
      <c r="F791" s="311">
        <v>136</v>
      </c>
      <c r="G791" s="47"/>
      <c r="H791" s="311">
        <v>511</v>
      </c>
      <c r="I791" s="220" t="s">
        <v>20</v>
      </c>
      <c r="J791" s="59">
        <v>6294000</v>
      </c>
      <c r="K791" s="59"/>
      <c r="L791" s="59">
        <f t="shared" ref="L791:L792" si="46">SUM(J791+K791)</f>
        <v>6294000</v>
      </c>
    </row>
    <row r="792" spans="1:16" x14ac:dyDescent="0.2">
      <c r="A792" s="519"/>
      <c r="B792" s="49"/>
      <c r="E792" s="579"/>
      <c r="F792" s="311">
        <v>137</v>
      </c>
      <c r="G792" s="47"/>
      <c r="H792" s="311">
        <v>512</v>
      </c>
      <c r="I792" s="270" t="s">
        <v>21</v>
      </c>
      <c r="J792" s="59">
        <v>1707000</v>
      </c>
      <c r="K792" s="59"/>
      <c r="L792" s="59">
        <f t="shared" si="46"/>
        <v>1707000</v>
      </c>
    </row>
    <row r="793" spans="1:16" x14ac:dyDescent="0.2">
      <c r="B793" s="49"/>
      <c r="D793" s="519"/>
      <c r="E793" s="579"/>
      <c r="F793" s="311"/>
      <c r="G793" s="47"/>
      <c r="H793" s="312"/>
      <c r="I793" s="294" t="s">
        <v>879</v>
      </c>
      <c r="J793" s="60">
        <f>SUM(J790:J792)</f>
        <v>29901000</v>
      </c>
      <c r="K793" s="60"/>
      <c r="L793" s="60">
        <f>SUM(J793:K793)</f>
        <v>29901000</v>
      </c>
    </row>
    <row r="794" spans="1:16" x14ac:dyDescent="0.2">
      <c r="B794" s="49"/>
      <c r="D794" s="519"/>
      <c r="E794" s="579"/>
      <c r="F794" s="311"/>
      <c r="G794" s="55" t="s">
        <v>37</v>
      </c>
      <c r="H794" s="311"/>
      <c r="I794" s="220" t="s">
        <v>38</v>
      </c>
      <c r="J794" s="64">
        <f>SUM(J793-J795)</f>
        <v>11901000</v>
      </c>
      <c r="K794" s="60"/>
      <c r="L794" s="59">
        <f>SUM(J794+K794)</f>
        <v>11901000</v>
      </c>
    </row>
    <row r="795" spans="1:16" x14ac:dyDescent="0.2">
      <c r="A795" s="519"/>
      <c r="B795" s="49"/>
      <c r="D795" s="519"/>
      <c r="E795" s="579"/>
      <c r="F795" s="311"/>
      <c r="G795" s="55" t="s">
        <v>113</v>
      </c>
      <c r="H795" s="311"/>
      <c r="I795" s="220" t="s">
        <v>280</v>
      </c>
      <c r="J795" s="64">
        <v>18000000</v>
      </c>
      <c r="K795" s="60"/>
      <c r="L795" s="59">
        <f>SUM(J795+K795)</f>
        <v>18000000</v>
      </c>
    </row>
    <row r="796" spans="1:16" x14ac:dyDescent="0.2">
      <c r="D796" s="520"/>
      <c r="E796" s="579"/>
      <c r="F796" s="311"/>
      <c r="G796" s="47"/>
      <c r="H796" s="313"/>
      <c r="I796" s="26"/>
      <c r="J796" s="192"/>
      <c r="K796" s="192"/>
      <c r="L796" s="327"/>
    </row>
    <row r="797" spans="1:16" x14ac:dyDescent="0.2">
      <c r="B797" s="49"/>
      <c r="C797" s="49">
        <v>620</v>
      </c>
      <c r="E797" s="579"/>
      <c r="F797" s="311"/>
      <c r="G797" s="47"/>
      <c r="H797" s="313"/>
      <c r="I797" s="238" t="s">
        <v>105</v>
      </c>
      <c r="J797" s="76"/>
      <c r="K797" s="76"/>
      <c r="L797" s="218"/>
    </row>
    <row r="798" spans="1:16" x14ac:dyDescent="0.2">
      <c r="B798" s="436"/>
      <c r="C798" s="717"/>
      <c r="D798" s="367"/>
      <c r="E798" s="579"/>
      <c r="F798" s="311"/>
      <c r="G798" s="47"/>
      <c r="H798" s="311"/>
      <c r="I798" s="223"/>
      <c r="J798" s="30"/>
      <c r="K798" s="31"/>
      <c r="L798" s="77"/>
    </row>
    <row r="799" spans="1:16" x14ac:dyDescent="0.2">
      <c r="B799" s="436"/>
      <c r="C799" s="717"/>
      <c r="D799" s="367"/>
      <c r="E799" s="581" t="s">
        <v>253</v>
      </c>
      <c r="F799" s="391"/>
      <c r="G799" s="334"/>
      <c r="H799" s="461"/>
      <c r="I799" s="401" t="s">
        <v>951</v>
      </c>
      <c r="J799" s="326"/>
      <c r="K799" s="326"/>
      <c r="L799" s="57"/>
    </row>
    <row r="800" spans="1:16" s="190" customFormat="1" x14ac:dyDescent="0.2">
      <c r="A800" s="711"/>
      <c r="B800" s="646"/>
      <c r="C800" s="893"/>
      <c r="D800" s="711"/>
      <c r="E800" s="626"/>
      <c r="F800" s="882" t="s">
        <v>994</v>
      </c>
      <c r="G800" s="883"/>
      <c r="H800" s="882">
        <v>424</v>
      </c>
      <c r="I800" s="894" t="s">
        <v>10</v>
      </c>
      <c r="J800" s="889">
        <v>1000</v>
      </c>
      <c r="K800" s="889"/>
      <c r="L800" s="889">
        <f>SUM(J800:K800)</f>
        <v>1000</v>
      </c>
      <c r="M800" s="188"/>
      <c r="N800" s="929"/>
      <c r="O800" s="188"/>
      <c r="P800" s="927"/>
    </row>
    <row r="801" spans="1:16" x14ac:dyDescent="0.2">
      <c r="A801" s="520"/>
      <c r="B801" s="49"/>
      <c r="D801" s="520"/>
      <c r="E801" s="579"/>
      <c r="F801" s="311">
        <v>138</v>
      </c>
      <c r="G801" s="47"/>
      <c r="H801" s="311">
        <v>511</v>
      </c>
      <c r="I801" s="220" t="s">
        <v>648</v>
      </c>
      <c r="J801" s="59">
        <v>1000</v>
      </c>
      <c r="K801" s="60"/>
      <c r="L801" s="59">
        <f>SUM(J801:K801)</f>
        <v>1000</v>
      </c>
      <c r="N801" s="942"/>
    </row>
    <row r="802" spans="1:16" x14ac:dyDescent="0.2">
      <c r="B802" s="49"/>
      <c r="E802" s="579"/>
      <c r="F802" s="311">
        <v>139</v>
      </c>
      <c r="G802" s="47"/>
      <c r="H802" s="311">
        <v>511</v>
      </c>
      <c r="I802" s="220" t="s">
        <v>649</v>
      </c>
      <c r="J802" s="64">
        <v>1000</v>
      </c>
      <c r="K802" s="59"/>
      <c r="L802" s="59">
        <f>SUM(J802+K802)</f>
        <v>1000</v>
      </c>
    </row>
    <row r="803" spans="1:16" x14ac:dyDescent="0.2">
      <c r="B803" s="49"/>
      <c r="D803" s="519"/>
      <c r="E803" s="579"/>
      <c r="F803" s="311"/>
      <c r="G803" s="47"/>
      <c r="H803" s="311"/>
      <c r="I803" s="235" t="s">
        <v>710</v>
      </c>
      <c r="J803" s="60">
        <f>SUM(J800:J802)</f>
        <v>3000</v>
      </c>
      <c r="K803" s="59"/>
      <c r="L803" s="56">
        <f>SUM(L800:L802)</f>
        <v>3000</v>
      </c>
    </row>
    <row r="804" spans="1:16" x14ac:dyDescent="0.2">
      <c r="B804" s="49"/>
      <c r="E804" s="579"/>
      <c r="F804" s="311"/>
      <c r="G804" s="55" t="s">
        <v>37</v>
      </c>
      <c r="H804" s="313"/>
      <c r="I804" s="220" t="s">
        <v>38</v>
      </c>
      <c r="J804" s="64">
        <f>SUM(J803)</f>
        <v>3000</v>
      </c>
      <c r="K804" s="60"/>
      <c r="L804" s="59">
        <f>SUM(J804+K804)</f>
        <v>3000</v>
      </c>
    </row>
    <row r="805" spans="1:16" x14ac:dyDescent="0.2">
      <c r="B805" s="436"/>
      <c r="C805" s="717"/>
      <c r="D805" s="367"/>
      <c r="E805" s="579"/>
      <c r="F805" s="311"/>
      <c r="G805" s="47"/>
      <c r="H805" s="311"/>
      <c r="I805" s="223"/>
      <c r="J805" s="30"/>
      <c r="K805" s="31"/>
      <c r="L805" s="232"/>
    </row>
    <row r="806" spans="1:16" ht="22.5" x14ac:dyDescent="0.2">
      <c r="B806" s="436"/>
      <c r="C806" s="717"/>
      <c r="D806" s="367"/>
      <c r="E806" s="581" t="s">
        <v>253</v>
      </c>
      <c r="F806" s="391"/>
      <c r="G806" s="334"/>
      <c r="H806" s="391"/>
      <c r="I806" s="401" t="s">
        <v>952</v>
      </c>
      <c r="J806" s="326"/>
      <c r="K806" s="326"/>
      <c r="L806" s="57"/>
      <c r="M806" s="27"/>
    </row>
    <row r="807" spans="1:16" s="190" customFormat="1" x14ac:dyDescent="0.2">
      <c r="A807" s="711"/>
      <c r="B807" s="646"/>
      <c r="C807" s="893"/>
      <c r="D807" s="711"/>
      <c r="E807" s="626"/>
      <c r="F807" s="882" t="s">
        <v>993</v>
      </c>
      <c r="G807" s="883"/>
      <c r="H807" s="882">
        <v>424</v>
      </c>
      <c r="I807" s="894" t="s">
        <v>10</v>
      </c>
      <c r="J807" s="889">
        <v>200000</v>
      </c>
      <c r="K807" s="889"/>
      <c r="L807" s="889">
        <f>SUM(J807:K807)</f>
        <v>200000</v>
      </c>
      <c r="M807" s="1057"/>
      <c r="N807" s="929"/>
      <c r="O807" s="188"/>
      <c r="P807" s="927"/>
    </row>
    <row r="808" spans="1:16" x14ac:dyDescent="0.2">
      <c r="B808" s="49"/>
      <c r="D808" s="519"/>
      <c r="E808" s="579"/>
      <c r="F808" s="311">
        <v>140</v>
      </c>
      <c r="G808" s="47"/>
      <c r="H808" s="312" t="s">
        <v>80</v>
      </c>
      <c r="I808" s="935" t="s">
        <v>9</v>
      </c>
      <c r="J808" s="214">
        <v>5892828</v>
      </c>
      <c r="K808" s="936"/>
      <c r="L808" s="214">
        <f>SUM(J808:K808)</f>
        <v>5892828</v>
      </c>
      <c r="M808" s="27"/>
    </row>
    <row r="809" spans="1:16" s="182" customFormat="1" x14ac:dyDescent="0.2">
      <c r="A809" s="50"/>
      <c r="B809" s="49"/>
      <c r="C809" s="49"/>
      <c r="D809" s="519"/>
      <c r="E809" s="579"/>
      <c r="F809" s="311"/>
      <c r="G809" s="55" t="s">
        <v>37</v>
      </c>
      <c r="H809" s="312"/>
      <c r="I809" s="935" t="s">
        <v>38</v>
      </c>
      <c r="J809" s="937">
        <f>SUM(J807:J808)</f>
        <v>6092828</v>
      </c>
      <c r="K809" s="936"/>
      <c r="L809" s="214">
        <f>SUM(J809+K809)</f>
        <v>6092828</v>
      </c>
      <c r="M809" s="1058"/>
      <c r="N809" s="926"/>
      <c r="O809" s="154"/>
      <c r="P809" s="140"/>
    </row>
    <row r="810" spans="1:16" s="182" customFormat="1" x14ac:dyDescent="0.2">
      <c r="A810" s="519"/>
      <c r="B810" s="49"/>
      <c r="C810" s="49"/>
      <c r="D810" s="519"/>
      <c r="E810" s="579"/>
      <c r="F810" s="311"/>
      <c r="G810" s="47"/>
      <c r="H810" s="313"/>
      <c r="I810" s="229" t="s">
        <v>710</v>
      </c>
      <c r="J810" s="60">
        <f>SUM(J809:J809)</f>
        <v>6092828</v>
      </c>
      <c r="K810" s="60"/>
      <c r="L810" s="60">
        <f>SUM(L809:L809)</f>
        <v>6092828</v>
      </c>
      <c r="M810" s="184"/>
      <c r="N810" s="926"/>
      <c r="O810" s="154"/>
      <c r="P810" s="140"/>
    </row>
    <row r="811" spans="1:16" s="182" customFormat="1" x14ac:dyDescent="0.2">
      <c r="A811" s="519"/>
      <c r="B811" s="49"/>
      <c r="C811" s="49"/>
      <c r="D811" s="519"/>
      <c r="E811" s="579"/>
      <c r="F811" s="311"/>
      <c r="G811" s="47"/>
      <c r="H811" s="312"/>
      <c r="I811" s="114"/>
      <c r="J811" s="326"/>
      <c r="K811" s="326"/>
      <c r="L811" s="57"/>
      <c r="M811" s="184"/>
      <c r="N811" s="926"/>
      <c r="O811" s="154"/>
      <c r="P811" s="140"/>
    </row>
    <row r="812" spans="1:16" s="182" customFormat="1" ht="33.75" x14ac:dyDescent="0.2">
      <c r="A812" s="519"/>
      <c r="B812" s="49"/>
      <c r="C812" s="49"/>
      <c r="D812" s="519"/>
      <c r="E812" s="581" t="s">
        <v>253</v>
      </c>
      <c r="F812" s="391"/>
      <c r="G812" s="334"/>
      <c r="H812" s="391"/>
      <c r="I812" s="401" t="s">
        <v>1021</v>
      </c>
      <c r="J812" s="326"/>
      <c r="K812" s="326"/>
      <c r="L812" s="57"/>
      <c r="M812" s="184"/>
      <c r="N812" s="926"/>
      <c r="O812" s="154"/>
      <c r="P812" s="140"/>
    </row>
    <row r="813" spans="1:16" s="182" customFormat="1" x14ac:dyDescent="0.2">
      <c r="A813" s="519"/>
      <c r="B813" s="49"/>
      <c r="C813" s="49"/>
      <c r="D813" s="519"/>
      <c r="E813" s="626"/>
      <c r="F813" s="882" t="s">
        <v>1019</v>
      </c>
      <c r="G813" s="883"/>
      <c r="H813" s="882">
        <v>424</v>
      </c>
      <c r="I813" s="894" t="s">
        <v>10</v>
      </c>
      <c r="J813" s="889">
        <v>150000</v>
      </c>
      <c r="K813" s="889"/>
      <c r="L813" s="889">
        <f>SUM(J813:K813)</f>
        <v>150000</v>
      </c>
      <c r="M813" s="184"/>
      <c r="N813" s="926"/>
      <c r="O813" s="154"/>
      <c r="P813" s="140"/>
    </row>
    <row r="814" spans="1:16" s="182" customFormat="1" x14ac:dyDescent="0.2">
      <c r="A814" s="519"/>
      <c r="B814" s="49"/>
      <c r="C814" s="49"/>
      <c r="D814" s="519"/>
      <c r="E814" s="579"/>
      <c r="F814" s="311" t="s">
        <v>1020</v>
      </c>
      <c r="G814" s="47"/>
      <c r="H814" s="312" t="s">
        <v>80</v>
      </c>
      <c r="I814" s="935" t="s">
        <v>9</v>
      </c>
      <c r="J814" s="214">
        <v>6000000</v>
      </c>
      <c r="K814" s="936"/>
      <c r="L814" s="214">
        <f>SUM(J814:K814)</f>
        <v>6000000</v>
      </c>
      <c r="M814" s="184"/>
      <c r="N814" s="959"/>
      <c r="O814" s="154"/>
      <c r="P814" s="140"/>
    </row>
    <row r="815" spans="1:16" s="182" customFormat="1" x14ac:dyDescent="0.2">
      <c r="A815" s="519"/>
      <c r="B815" s="49"/>
      <c r="C815" s="49"/>
      <c r="D815" s="519"/>
      <c r="E815" s="579"/>
      <c r="F815" s="311"/>
      <c r="G815" s="55" t="s">
        <v>37</v>
      </c>
      <c r="H815" s="312"/>
      <c r="I815" s="935" t="s">
        <v>38</v>
      </c>
      <c r="J815" s="937">
        <f>SUM(J813:J814)</f>
        <v>6150000</v>
      </c>
      <c r="K815" s="936"/>
      <c r="L815" s="214">
        <f>SUM(J815+K815)</f>
        <v>6150000</v>
      </c>
      <c r="M815" s="184"/>
      <c r="N815" s="959"/>
      <c r="O815" s="154"/>
      <c r="P815" s="140"/>
    </row>
    <row r="816" spans="1:16" s="182" customFormat="1" x14ac:dyDescent="0.2">
      <c r="A816" s="519"/>
      <c r="B816" s="49"/>
      <c r="C816" s="49"/>
      <c r="D816" s="519"/>
      <c r="E816" s="579"/>
      <c r="F816" s="311"/>
      <c r="G816" s="47"/>
      <c r="H816" s="313"/>
      <c r="I816" s="229" t="s">
        <v>710</v>
      </c>
      <c r="J816" s="60">
        <f>SUM(J815:J815)</f>
        <v>6150000</v>
      </c>
      <c r="K816" s="60"/>
      <c r="L816" s="60">
        <f>SUM(L815:L815)</f>
        <v>6150000</v>
      </c>
      <c r="M816" s="184"/>
      <c r="N816" s="959"/>
      <c r="O816" s="154"/>
      <c r="P816" s="140"/>
    </row>
    <row r="817" spans="1:16" s="182" customFormat="1" x14ac:dyDescent="0.2">
      <c r="A817" s="519"/>
      <c r="B817" s="49"/>
      <c r="C817" s="49"/>
      <c r="D817" s="519"/>
      <c r="E817" s="579"/>
      <c r="F817" s="311"/>
      <c r="G817" s="47"/>
      <c r="H817" s="312"/>
      <c r="I817" s="114"/>
      <c r="J817" s="326"/>
      <c r="K817" s="326"/>
      <c r="L817" s="57"/>
      <c r="M817" s="184"/>
      <c r="N817" s="959"/>
      <c r="O817" s="154"/>
      <c r="P817" s="140"/>
    </row>
    <row r="818" spans="1:16" s="182" customFormat="1" ht="22.5" x14ac:dyDescent="0.2">
      <c r="A818" s="519"/>
      <c r="B818" s="49"/>
      <c r="C818" s="49"/>
      <c r="D818" s="519"/>
      <c r="E818" s="581" t="s">
        <v>253</v>
      </c>
      <c r="F818" s="391"/>
      <c r="G818" s="334"/>
      <c r="H818" s="391"/>
      <c r="I818" s="401" t="s">
        <v>1022</v>
      </c>
      <c r="J818" s="326"/>
      <c r="K818" s="326"/>
      <c r="L818" s="57"/>
      <c r="M818" s="184"/>
      <c r="N818" s="959"/>
      <c r="O818" s="154"/>
      <c r="P818" s="140"/>
    </row>
    <row r="819" spans="1:16" s="182" customFormat="1" x14ac:dyDescent="0.2">
      <c r="A819" s="519"/>
      <c r="B819" s="49"/>
      <c r="C819" s="49"/>
      <c r="D819" s="519"/>
      <c r="E819" s="579"/>
      <c r="F819" s="311" t="s">
        <v>1023</v>
      </c>
      <c r="G819" s="47"/>
      <c r="H819" s="312" t="s">
        <v>80</v>
      </c>
      <c r="I819" s="935" t="s">
        <v>9</v>
      </c>
      <c r="J819" s="214">
        <v>4000000</v>
      </c>
      <c r="K819" s="936"/>
      <c r="L819" s="214">
        <f>SUM(J819:K819)</f>
        <v>4000000</v>
      </c>
      <c r="M819" s="184"/>
      <c r="N819" s="959"/>
      <c r="O819" s="154"/>
      <c r="P819" s="140"/>
    </row>
    <row r="820" spans="1:16" s="182" customFormat="1" x14ac:dyDescent="0.2">
      <c r="A820" s="519"/>
      <c r="B820" s="49"/>
      <c r="C820" s="49"/>
      <c r="D820" s="519"/>
      <c r="E820" s="579"/>
      <c r="F820" s="311"/>
      <c r="G820" s="55" t="s">
        <v>37</v>
      </c>
      <c r="H820" s="312"/>
      <c r="I820" s="935" t="s">
        <v>38</v>
      </c>
      <c r="J820" s="937">
        <f>SUM(J819:J819)</f>
        <v>4000000</v>
      </c>
      <c r="K820" s="936"/>
      <c r="L820" s="214">
        <f>SUM(J820+K820)</f>
        <v>4000000</v>
      </c>
      <c r="M820" s="184"/>
      <c r="N820" s="926"/>
      <c r="O820" s="154"/>
      <c r="P820" s="140"/>
    </row>
    <row r="821" spans="1:16" s="182" customFormat="1" x14ac:dyDescent="0.2">
      <c r="A821" s="519"/>
      <c r="B821" s="49"/>
      <c r="C821" s="49"/>
      <c r="D821" s="519"/>
      <c r="E821" s="579"/>
      <c r="F821" s="311"/>
      <c r="G821" s="47"/>
      <c r="H821" s="313"/>
      <c r="I821" s="229" t="s">
        <v>710</v>
      </c>
      <c r="J821" s="60">
        <f>SUM(J820:J820)</f>
        <v>4000000</v>
      </c>
      <c r="K821" s="60"/>
      <c r="L821" s="60">
        <f>SUM(L820:L820)</f>
        <v>4000000</v>
      </c>
      <c r="M821" s="184"/>
      <c r="N821" s="926"/>
      <c r="O821" s="154"/>
      <c r="P821" s="140"/>
    </row>
    <row r="822" spans="1:16" s="182" customFormat="1" x14ac:dyDescent="0.2">
      <c r="A822" s="519"/>
      <c r="B822" s="49"/>
      <c r="C822" s="49"/>
      <c r="D822" s="519"/>
      <c r="E822" s="579"/>
      <c r="F822" s="311"/>
      <c r="G822" s="47"/>
      <c r="H822" s="312"/>
      <c r="I822" s="114"/>
      <c r="J822" s="326"/>
      <c r="K822" s="326"/>
      <c r="L822" s="57"/>
      <c r="M822" s="184"/>
      <c r="N822" s="926"/>
      <c r="O822" s="154"/>
      <c r="P822" s="140"/>
    </row>
    <row r="823" spans="1:16" s="182" customFormat="1" ht="22.5" x14ac:dyDescent="0.2">
      <c r="A823" s="50"/>
      <c r="B823" s="49"/>
      <c r="C823" s="49"/>
      <c r="D823" s="519"/>
      <c r="E823" s="581" t="s">
        <v>253</v>
      </c>
      <c r="F823" s="391"/>
      <c r="G823" s="334"/>
      <c r="H823" s="393"/>
      <c r="I823" s="401" t="s">
        <v>877</v>
      </c>
      <c r="J823" s="261"/>
      <c r="K823" s="326"/>
      <c r="L823" s="57"/>
      <c r="M823" s="154"/>
      <c r="N823" s="926"/>
      <c r="O823" s="154"/>
      <c r="P823" s="140"/>
    </row>
    <row r="824" spans="1:16" s="182" customFormat="1" x14ac:dyDescent="0.2">
      <c r="A824" s="50"/>
      <c r="B824" s="49"/>
      <c r="C824" s="49"/>
      <c r="D824" s="519"/>
      <c r="E824" s="579"/>
      <c r="F824" s="311">
        <v>141</v>
      </c>
      <c r="G824" s="47"/>
      <c r="H824" s="312" t="s">
        <v>46</v>
      </c>
      <c r="I824" s="220" t="s">
        <v>10</v>
      </c>
      <c r="J824" s="64">
        <v>2500000</v>
      </c>
      <c r="K824" s="59"/>
      <c r="L824" s="59">
        <f>SUM(J824:K824)</f>
        <v>2500000</v>
      </c>
      <c r="M824" s="154"/>
      <c r="N824" s="926"/>
      <c r="O824" s="154"/>
      <c r="P824" s="140"/>
    </row>
    <row r="825" spans="1:16" s="182" customFormat="1" ht="15" x14ac:dyDescent="0.25">
      <c r="A825" s="50"/>
      <c r="B825" s="49"/>
      <c r="C825" s="49"/>
      <c r="D825" s="519"/>
      <c r="E825" s="579"/>
      <c r="F825" s="311"/>
      <c r="G825" s="55" t="s">
        <v>37</v>
      </c>
      <c r="H825" s="317"/>
      <c r="I825" s="220" t="s">
        <v>38</v>
      </c>
      <c r="J825" s="64">
        <f>SUM(J824)</f>
        <v>2500000</v>
      </c>
      <c r="K825" s="59"/>
      <c r="L825" s="59">
        <f>SUM(J824:K824)</f>
        <v>2500000</v>
      </c>
      <c r="M825" s="154"/>
      <c r="N825" s="926"/>
      <c r="O825" s="154"/>
      <c r="P825" s="140"/>
    </row>
    <row r="826" spans="1:16" s="182" customFormat="1" x14ac:dyDescent="0.2">
      <c r="A826" s="50"/>
      <c r="B826" s="49"/>
      <c r="C826" s="49"/>
      <c r="D826" s="519"/>
      <c r="E826" s="579"/>
      <c r="F826" s="311"/>
      <c r="G826" s="47"/>
      <c r="H826" s="647"/>
      <c r="I826" s="229" t="s">
        <v>710</v>
      </c>
      <c r="J826" s="56">
        <f>SUM(J825)</f>
        <v>2500000</v>
      </c>
      <c r="K826" s="60"/>
      <c r="L826" s="60">
        <f>SUM(L825)</f>
        <v>2500000</v>
      </c>
      <c r="M826" s="154"/>
      <c r="N826" s="926"/>
      <c r="O826" s="154"/>
      <c r="P826" s="140"/>
    </row>
    <row r="827" spans="1:16" s="182" customFormat="1" x14ac:dyDescent="0.2">
      <c r="A827" s="711"/>
      <c r="B827" s="711"/>
      <c r="C827" s="646"/>
      <c r="D827" s="646"/>
      <c r="E827" s="626"/>
      <c r="F827" s="442"/>
      <c r="G827" s="47"/>
      <c r="H827" s="312"/>
      <c r="I827" s="938"/>
      <c r="J827" s="80"/>
      <c r="K827" s="80"/>
      <c r="L827" s="260"/>
      <c r="M827" s="154"/>
      <c r="N827" s="926"/>
      <c r="O827" s="154"/>
      <c r="P827" s="140"/>
    </row>
    <row r="828" spans="1:16" s="182" customFormat="1" x14ac:dyDescent="0.2">
      <c r="A828" s="718"/>
      <c r="B828" s="718"/>
      <c r="C828" s="690"/>
      <c r="D828" s="690">
        <v>1502</v>
      </c>
      <c r="E828" s="617"/>
      <c r="F828" s="701"/>
      <c r="G828" s="691"/>
      <c r="H828" s="692"/>
      <c r="I828" s="693" t="s">
        <v>225</v>
      </c>
      <c r="J828" s="662">
        <f>SUM(J855+J871+J878)</f>
        <v>21118300</v>
      </c>
      <c r="K828" s="662">
        <f>SUM(K855+K871+K878)</f>
        <v>282000</v>
      </c>
      <c r="L828" s="662">
        <f t="shared" ref="L828" si="47">SUM(L855+L871+L878)</f>
        <v>21400300</v>
      </c>
      <c r="M828" s="154"/>
      <c r="N828" s="926"/>
      <c r="O828" s="154"/>
      <c r="P828" s="140"/>
    </row>
    <row r="829" spans="1:16" s="182" customFormat="1" x14ac:dyDescent="0.2">
      <c r="A829" s="50"/>
      <c r="B829" s="50"/>
      <c r="C829" s="49"/>
      <c r="D829" s="49"/>
      <c r="E829" s="579"/>
      <c r="F829" s="311"/>
      <c r="G829" s="321"/>
      <c r="H829" s="312"/>
      <c r="I829" s="266"/>
      <c r="J829" s="192"/>
      <c r="K829" s="192"/>
      <c r="L829" s="327"/>
      <c r="M829" s="154"/>
      <c r="N829" s="926"/>
      <c r="O829" s="154"/>
      <c r="P829" s="140"/>
    </row>
    <row r="830" spans="1:16" s="182" customFormat="1" x14ac:dyDescent="0.2">
      <c r="A830" s="519"/>
      <c r="B830" s="696"/>
      <c r="C830" s="49">
        <v>473</v>
      </c>
      <c r="D830" s="49"/>
      <c r="E830" s="579"/>
      <c r="F830" s="311"/>
      <c r="G830" s="47"/>
      <c r="H830" s="312"/>
      <c r="I830" s="238" t="s">
        <v>57</v>
      </c>
      <c r="J830" s="362"/>
      <c r="K830" s="362"/>
      <c r="L830" s="363"/>
      <c r="M830" s="154"/>
      <c r="N830" s="926"/>
      <c r="O830" s="154"/>
      <c r="P830" s="140"/>
    </row>
    <row r="831" spans="1:16" s="182" customFormat="1" x14ac:dyDescent="0.2">
      <c r="A831" s="49"/>
      <c r="B831" s="49"/>
      <c r="C831" s="49"/>
      <c r="D831" s="49"/>
      <c r="E831" s="579"/>
      <c r="F831" s="311"/>
      <c r="G831" s="47"/>
      <c r="H831" s="312"/>
      <c r="I831" s="26"/>
      <c r="J831" s="250"/>
      <c r="K831" s="250"/>
      <c r="L831" s="251"/>
      <c r="M831" s="154"/>
      <c r="N831" s="926"/>
      <c r="O831" s="154"/>
      <c r="P831" s="140"/>
    </row>
    <row r="832" spans="1:16" s="182" customFormat="1" x14ac:dyDescent="0.2">
      <c r="A832" s="49"/>
      <c r="B832" s="49">
        <v>2</v>
      </c>
      <c r="C832" s="49"/>
      <c r="D832" s="49"/>
      <c r="E832" s="579"/>
      <c r="F832" s="311"/>
      <c r="G832" s="47"/>
      <c r="H832" s="647"/>
      <c r="I832" s="238" t="s">
        <v>58</v>
      </c>
      <c r="J832" s="362"/>
      <c r="K832" s="362"/>
      <c r="L832" s="363"/>
      <c r="M832" s="154"/>
      <c r="N832" s="926"/>
      <c r="O832" s="154"/>
      <c r="P832" s="140"/>
    </row>
    <row r="833" spans="1:16" s="182" customFormat="1" ht="15" x14ac:dyDescent="0.25">
      <c r="A833" s="49"/>
      <c r="B833" s="49"/>
      <c r="C833" s="49"/>
      <c r="D833" s="49"/>
      <c r="E833" s="579"/>
      <c r="F833" s="311"/>
      <c r="G833" s="47"/>
      <c r="H833" s="317"/>
      <c r="I833" s="26"/>
      <c r="J833" s="250"/>
      <c r="K833" s="250"/>
      <c r="L833" s="251"/>
      <c r="M833" s="154"/>
      <c r="N833" s="926"/>
      <c r="O833" s="154"/>
      <c r="P833" s="140"/>
    </row>
    <row r="834" spans="1:16" s="182" customFormat="1" ht="15" x14ac:dyDescent="0.25">
      <c r="A834" s="49"/>
      <c r="B834" s="49"/>
      <c r="C834" s="49"/>
      <c r="D834" s="49"/>
      <c r="E834" s="583"/>
      <c r="F834" s="439"/>
      <c r="G834" s="329"/>
      <c r="H834" s="800"/>
      <c r="I834" s="396" t="s">
        <v>272</v>
      </c>
      <c r="J834" s="719"/>
      <c r="K834" s="719"/>
      <c r="L834" s="410"/>
      <c r="M834" s="154"/>
      <c r="N834" s="926"/>
      <c r="O834" s="154"/>
      <c r="P834" s="140"/>
    </row>
    <row r="835" spans="1:16" s="182" customFormat="1" ht="15" x14ac:dyDescent="0.25">
      <c r="A835" s="646"/>
      <c r="B835" s="646"/>
      <c r="C835" s="646"/>
      <c r="D835" s="646"/>
      <c r="E835" s="580" t="s">
        <v>226</v>
      </c>
      <c r="F835" s="439"/>
      <c r="G835" s="329"/>
      <c r="H835" s="800"/>
      <c r="I835" s="398" t="s">
        <v>227</v>
      </c>
      <c r="J835" s="676"/>
      <c r="K835" s="676"/>
      <c r="L835" s="413"/>
      <c r="M835" s="154"/>
      <c r="N835" s="926"/>
      <c r="O835" s="154"/>
      <c r="P835" s="140"/>
    </row>
    <row r="836" spans="1:16" s="182" customFormat="1" ht="15" x14ac:dyDescent="0.25">
      <c r="A836" s="519"/>
      <c r="B836" s="49"/>
      <c r="C836" s="49"/>
      <c r="D836" s="519"/>
      <c r="E836" s="579"/>
      <c r="F836" s="311"/>
      <c r="G836" s="321"/>
      <c r="H836" s="317"/>
      <c r="I836" s="266"/>
      <c r="J836" s="250"/>
      <c r="K836" s="250"/>
      <c r="L836" s="251"/>
      <c r="M836" s="154"/>
      <c r="N836" s="926"/>
      <c r="O836" s="154"/>
      <c r="P836" s="140"/>
    </row>
    <row r="837" spans="1:16" s="182" customFormat="1" x14ac:dyDescent="0.2">
      <c r="A837" s="519"/>
      <c r="B837" s="49"/>
      <c r="C837" s="49"/>
      <c r="D837" s="519"/>
      <c r="E837" s="579"/>
      <c r="F837" s="311">
        <v>142</v>
      </c>
      <c r="G837" s="47"/>
      <c r="H837" s="311">
        <v>411</v>
      </c>
      <c r="I837" s="220" t="s">
        <v>2</v>
      </c>
      <c r="J837" s="934">
        <v>3000000</v>
      </c>
      <c r="K837" s="231"/>
      <c r="L837" s="54">
        <f>SUM(J837:K837)</f>
        <v>3000000</v>
      </c>
      <c r="M837" s="154"/>
      <c r="N837" s="154"/>
      <c r="O837" s="154"/>
      <c r="P837" s="140"/>
    </row>
    <row r="838" spans="1:16" s="182" customFormat="1" x14ac:dyDescent="0.2">
      <c r="A838" s="519"/>
      <c r="B838" s="49"/>
      <c r="C838" s="49"/>
      <c r="D838" s="519"/>
      <c r="E838" s="579"/>
      <c r="F838" s="311">
        <v>143</v>
      </c>
      <c r="G838" s="47"/>
      <c r="H838" s="311">
        <v>412</v>
      </c>
      <c r="I838" s="270" t="s">
        <v>3</v>
      </c>
      <c r="J838" s="934">
        <v>515000</v>
      </c>
      <c r="K838" s="231"/>
      <c r="L838" s="54">
        <f t="shared" ref="L838:L851" si="48">SUM(J838:K838)</f>
        <v>515000</v>
      </c>
      <c r="M838" s="154"/>
      <c r="N838" s="154"/>
      <c r="O838" s="154"/>
      <c r="P838" s="140"/>
    </row>
    <row r="839" spans="1:16" s="182" customFormat="1" x14ac:dyDescent="0.2">
      <c r="A839" s="519"/>
      <c r="B839" s="49"/>
      <c r="C839" s="49"/>
      <c r="D839" s="519"/>
      <c r="E839" s="579"/>
      <c r="F839" s="311">
        <v>144</v>
      </c>
      <c r="G839" s="47"/>
      <c r="H839" s="311">
        <v>413</v>
      </c>
      <c r="I839" s="270" t="s">
        <v>33</v>
      </c>
      <c r="J839" s="53">
        <v>50000</v>
      </c>
      <c r="K839" s="231"/>
      <c r="L839" s="54">
        <f t="shared" si="48"/>
        <v>50000</v>
      </c>
      <c r="M839" s="154"/>
      <c r="N839" s="926"/>
      <c r="O839" s="154"/>
      <c r="P839" s="140"/>
    </row>
    <row r="840" spans="1:16" s="182" customFormat="1" x14ac:dyDescent="0.2">
      <c r="A840" s="519"/>
      <c r="B840" s="49"/>
      <c r="C840" s="49"/>
      <c r="D840" s="519"/>
      <c r="E840" s="579"/>
      <c r="F840" s="311">
        <v>145</v>
      </c>
      <c r="G840" s="47"/>
      <c r="H840" s="311">
        <v>414</v>
      </c>
      <c r="I840" s="270" t="s">
        <v>34</v>
      </c>
      <c r="J840" s="53">
        <v>50000</v>
      </c>
      <c r="K840" s="231"/>
      <c r="L840" s="54">
        <f t="shared" si="48"/>
        <v>50000</v>
      </c>
      <c r="M840" s="154"/>
      <c r="N840" s="926"/>
      <c r="O840" s="154"/>
      <c r="P840" s="140"/>
    </row>
    <row r="841" spans="1:16" s="182" customFormat="1" x14ac:dyDescent="0.2">
      <c r="A841" s="519"/>
      <c r="B841" s="49"/>
      <c r="C841" s="49"/>
      <c r="D841" s="519"/>
      <c r="E841" s="579"/>
      <c r="F841" s="311">
        <v>146</v>
      </c>
      <c r="G841" s="47"/>
      <c r="H841" s="311">
        <v>415</v>
      </c>
      <c r="I841" s="270" t="s">
        <v>5</v>
      </c>
      <c r="J841" s="53">
        <v>140000</v>
      </c>
      <c r="K841" s="231"/>
      <c r="L841" s="54">
        <f t="shared" si="48"/>
        <v>140000</v>
      </c>
      <c r="M841" s="154"/>
      <c r="N841" s="926"/>
      <c r="O841" s="154"/>
      <c r="P841" s="140"/>
    </row>
    <row r="842" spans="1:16" s="182" customFormat="1" x14ac:dyDescent="0.2">
      <c r="A842" s="519"/>
      <c r="B842" s="49"/>
      <c r="C842" s="49"/>
      <c r="D842" s="519"/>
      <c r="E842" s="579"/>
      <c r="F842" s="311">
        <v>147</v>
      </c>
      <c r="G842" s="47"/>
      <c r="H842" s="311">
        <v>421</v>
      </c>
      <c r="I842" s="270" t="s">
        <v>7</v>
      </c>
      <c r="J842" s="53">
        <v>185000</v>
      </c>
      <c r="K842" s="231">
        <v>2000</v>
      </c>
      <c r="L842" s="54">
        <f t="shared" si="48"/>
        <v>187000</v>
      </c>
      <c r="M842" s="183"/>
      <c r="N842" s="926"/>
      <c r="O842" s="154"/>
      <c r="P842" s="140"/>
    </row>
    <row r="843" spans="1:16" s="182" customFormat="1" x14ac:dyDescent="0.2">
      <c r="A843" s="519"/>
      <c r="B843" s="49"/>
      <c r="C843" s="49"/>
      <c r="D843" s="519"/>
      <c r="E843" s="579"/>
      <c r="F843" s="311">
        <v>148</v>
      </c>
      <c r="G843" s="47"/>
      <c r="H843" s="311">
        <v>422</v>
      </c>
      <c r="I843" s="220" t="s">
        <v>8</v>
      </c>
      <c r="J843" s="53">
        <v>200000</v>
      </c>
      <c r="K843" s="231"/>
      <c r="L843" s="54">
        <f t="shared" si="48"/>
        <v>200000</v>
      </c>
      <c r="M843" s="183"/>
      <c r="N843" s="926"/>
      <c r="O843" s="154"/>
      <c r="P843" s="140"/>
    </row>
    <row r="844" spans="1:16" s="182" customFormat="1" x14ac:dyDescent="0.2">
      <c r="A844" s="519"/>
      <c r="B844" s="49"/>
      <c r="C844" s="49"/>
      <c r="D844" s="519"/>
      <c r="E844" s="579"/>
      <c r="F844" s="311">
        <v>149</v>
      </c>
      <c r="G844" s="47"/>
      <c r="H844" s="311">
        <v>423</v>
      </c>
      <c r="I844" s="220" t="s">
        <v>9</v>
      </c>
      <c r="J844" s="53">
        <v>1470000</v>
      </c>
      <c r="K844" s="231"/>
      <c r="L844" s="54">
        <f t="shared" si="48"/>
        <v>1470000</v>
      </c>
      <c r="M844" s="154"/>
      <c r="N844" s="926"/>
      <c r="O844" s="154"/>
      <c r="P844" s="140"/>
    </row>
    <row r="845" spans="1:16" s="182" customFormat="1" x14ac:dyDescent="0.2">
      <c r="A845" s="519"/>
      <c r="B845" s="49"/>
      <c r="C845" s="49"/>
      <c r="D845" s="519"/>
      <c r="E845" s="579"/>
      <c r="F845" s="311">
        <v>150</v>
      </c>
      <c r="G845" s="47"/>
      <c r="H845" s="311">
        <v>425</v>
      </c>
      <c r="I845" s="220" t="s">
        <v>11</v>
      </c>
      <c r="J845" s="53">
        <v>60000</v>
      </c>
      <c r="K845" s="231"/>
      <c r="L845" s="54">
        <f t="shared" si="48"/>
        <v>60000</v>
      </c>
      <c r="M845" s="154"/>
      <c r="N845" s="926"/>
      <c r="O845" s="154"/>
      <c r="P845" s="140"/>
    </row>
    <row r="846" spans="1:16" s="182" customFormat="1" x14ac:dyDescent="0.2">
      <c r="A846" s="519"/>
      <c r="B846" s="49"/>
      <c r="C846" s="49"/>
      <c r="D846" s="519"/>
      <c r="E846" s="579"/>
      <c r="F846" s="311">
        <v>151</v>
      </c>
      <c r="G846" s="47"/>
      <c r="H846" s="311">
        <v>426</v>
      </c>
      <c r="I846" s="220" t="s">
        <v>35</v>
      </c>
      <c r="J846" s="53">
        <v>45000</v>
      </c>
      <c r="K846" s="231"/>
      <c r="L846" s="54">
        <f t="shared" si="48"/>
        <v>45000</v>
      </c>
      <c r="M846" s="154"/>
      <c r="N846" s="926"/>
      <c r="O846" s="154"/>
      <c r="P846" s="140"/>
    </row>
    <row r="847" spans="1:16" s="182" customFormat="1" x14ac:dyDescent="0.2">
      <c r="A847" s="519"/>
      <c r="B847" s="49"/>
      <c r="C847" s="49"/>
      <c r="D847" s="519"/>
      <c r="E847" s="579"/>
      <c r="F847" s="311">
        <v>152</v>
      </c>
      <c r="G847" s="47"/>
      <c r="H847" s="311">
        <v>465</v>
      </c>
      <c r="I847" s="220" t="s">
        <v>167</v>
      </c>
      <c r="J847" s="53">
        <v>398300</v>
      </c>
      <c r="K847" s="231"/>
      <c r="L847" s="54">
        <f t="shared" si="48"/>
        <v>398300</v>
      </c>
      <c r="M847" s="154"/>
      <c r="N847" s="926"/>
      <c r="O847" s="154"/>
      <c r="P847" s="140"/>
    </row>
    <row r="848" spans="1:16" s="182" customFormat="1" x14ac:dyDescent="0.2">
      <c r="A848" s="519"/>
      <c r="B848" s="49"/>
      <c r="C848" s="49"/>
      <c r="D848" s="519"/>
      <c r="E848" s="579"/>
      <c r="F848" s="311">
        <v>153</v>
      </c>
      <c r="G848" s="47"/>
      <c r="H848" s="311">
        <v>482</v>
      </c>
      <c r="I848" s="220" t="s">
        <v>17</v>
      </c>
      <c r="J848" s="53">
        <v>35000</v>
      </c>
      <c r="K848" s="231">
        <v>5000</v>
      </c>
      <c r="L848" s="54">
        <f t="shared" si="48"/>
        <v>40000</v>
      </c>
      <c r="M848" s="154"/>
      <c r="N848" s="926"/>
      <c r="O848" s="154"/>
      <c r="P848" s="140"/>
    </row>
    <row r="849" spans="1:16" s="182" customFormat="1" x14ac:dyDescent="0.2">
      <c r="A849" s="519"/>
      <c r="B849" s="49"/>
      <c r="C849" s="49"/>
      <c r="D849" s="519"/>
      <c r="E849" s="579"/>
      <c r="F849" s="311">
        <v>154</v>
      </c>
      <c r="G849" s="47"/>
      <c r="H849" s="311">
        <v>483</v>
      </c>
      <c r="I849" s="220" t="s">
        <v>104</v>
      </c>
      <c r="J849" s="53">
        <v>50000</v>
      </c>
      <c r="K849" s="231"/>
      <c r="L849" s="54">
        <f t="shared" si="48"/>
        <v>50000</v>
      </c>
      <c r="M849" s="154"/>
      <c r="N849" s="926"/>
      <c r="O849" s="154"/>
      <c r="P849" s="140"/>
    </row>
    <row r="850" spans="1:16" s="182" customFormat="1" x14ac:dyDescent="0.2">
      <c r="A850" s="519"/>
      <c r="B850" s="49"/>
      <c r="C850" s="49"/>
      <c r="D850" s="519"/>
      <c r="E850" s="579"/>
      <c r="F850" s="311">
        <v>155</v>
      </c>
      <c r="G850" s="47"/>
      <c r="H850" s="311">
        <v>512</v>
      </c>
      <c r="I850" s="220" t="s">
        <v>51</v>
      </c>
      <c r="J850" s="53">
        <v>100000</v>
      </c>
      <c r="K850" s="231"/>
      <c r="L850" s="54">
        <f t="shared" si="48"/>
        <v>100000</v>
      </c>
      <c r="M850" s="154"/>
      <c r="N850" s="926"/>
      <c r="O850" s="154"/>
      <c r="P850" s="140"/>
    </row>
    <row r="851" spans="1:16" s="182" customFormat="1" x14ac:dyDescent="0.2">
      <c r="A851" s="519"/>
      <c r="B851" s="49"/>
      <c r="C851" s="49"/>
      <c r="D851" s="519"/>
      <c r="E851" s="579"/>
      <c r="F851" s="311">
        <v>156</v>
      </c>
      <c r="G851" s="47"/>
      <c r="H851" s="311">
        <v>515</v>
      </c>
      <c r="I851" s="220" t="s">
        <v>23</v>
      </c>
      <c r="J851" s="53">
        <v>500000</v>
      </c>
      <c r="K851" s="231"/>
      <c r="L851" s="54">
        <f t="shared" si="48"/>
        <v>500000</v>
      </c>
      <c r="M851" s="154"/>
      <c r="N851" s="926"/>
      <c r="O851" s="154"/>
      <c r="P851" s="140"/>
    </row>
    <row r="852" spans="1:16" s="182" customFormat="1" ht="15" x14ac:dyDescent="0.2">
      <c r="A852" s="519"/>
      <c r="B852" s="49"/>
      <c r="C852" s="438"/>
      <c r="D852" s="519"/>
      <c r="E852" s="579"/>
      <c r="F852" s="311"/>
      <c r="G852" s="47"/>
      <c r="H852" s="311"/>
      <c r="I852" s="217"/>
      <c r="J852" s="262"/>
      <c r="K852" s="245"/>
      <c r="L852" s="250"/>
      <c r="M852" s="183"/>
      <c r="N852" s="926"/>
      <c r="O852" s="154"/>
      <c r="P852" s="140"/>
    </row>
    <row r="853" spans="1:16" s="182" customFormat="1" ht="15" x14ac:dyDescent="0.2">
      <c r="A853" s="519"/>
      <c r="B853" s="49"/>
      <c r="C853" s="438"/>
      <c r="D853" s="519"/>
      <c r="E853" s="579"/>
      <c r="F853" s="311"/>
      <c r="G853" s="55" t="s">
        <v>37</v>
      </c>
      <c r="H853" s="311"/>
      <c r="I853" s="220" t="s">
        <v>38</v>
      </c>
      <c r="J853" s="54">
        <f>SUM(J837:J851)</f>
        <v>6798300</v>
      </c>
      <c r="K853" s="54"/>
      <c r="L853" s="54">
        <f>SUM(J853+K853)</f>
        <v>6798300</v>
      </c>
      <c r="M853" s="183"/>
      <c r="N853" s="926"/>
      <c r="O853" s="154"/>
      <c r="P853" s="140"/>
    </row>
    <row r="854" spans="1:16" s="182" customFormat="1" ht="15" x14ac:dyDescent="0.2">
      <c r="A854" s="519"/>
      <c r="B854" s="49"/>
      <c r="C854" s="438"/>
      <c r="D854" s="519"/>
      <c r="E854" s="579"/>
      <c r="F854" s="311"/>
      <c r="G854" s="55" t="s">
        <v>55</v>
      </c>
      <c r="H854" s="311"/>
      <c r="I854" s="220" t="s">
        <v>56</v>
      </c>
      <c r="J854" s="54"/>
      <c r="K854" s="54">
        <f>SUM(K837:K851)</f>
        <v>7000</v>
      </c>
      <c r="L854" s="54">
        <f>SUM(J854+K854)</f>
        <v>7000</v>
      </c>
      <c r="M854" s="154"/>
      <c r="N854" s="926"/>
      <c r="O854" s="154"/>
      <c r="P854" s="140"/>
    </row>
    <row r="855" spans="1:16" s="182" customFormat="1" x14ac:dyDescent="0.2">
      <c r="A855" s="519"/>
      <c r="B855" s="49"/>
      <c r="C855" s="49"/>
      <c r="D855" s="519"/>
      <c r="E855" s="579"/>
      <c r="F855" s="311"/>
      <c r="G855" s="47"/>
      <c r="H855" s="442"/>
      <c r="I855" s="229" t="s">
        <v>290</v>
      </c>
      <c r="J855" s="199">
        <f>SUM(J837:J851)</f>
        <v>6798300</v>
      </c>
      <c r="K855" s="199">
        <f>SUM(K837:K851)</f>
        <v>7000</v>
      </c>
      <c r="L855" s="199">
        <f>SUM(L837:L851)</f>
        <v>6805300</v>
      </c>
      <c r="M855" s="154"/>
      <c r="N855" s="926"/>
      <c r="O855" s="154"/>
      <c r="P855" s="140"/>
    </row>
    <row r="856" spans="1:16" s="190" customFormat="1" ht="15" x14ac:dyDescent="0.25">
      <c r="A856" s="519"/>
      <c r="B856" s="49"/>
      <c r="C856" s="49"/>
      <c r="D856" s="519"/>
      <c r="E856" s="579"/>
      <c r="F856" s="311"/>
      <c r="G856" s="47"/>
      <c r="H856" s="314"/>
      <c r="I856" s="263"/>
      <c r="J856" s="264"/>
      <c r="K856" s="264"/>
      <c r="L856" s="265"/>
      <c r="M856" s="17"/>
      <c r="N856" s="188"/>
      <c r="O856" s="188"/>
      <c r="P856" s="927"/>
    </row>
    <row r="857" spans="1:16" s="190" customFormat="1" ht="15" x14ac:dyDescent="0.25">
      <c r="A857" s="519"/>
      <c r="B857" s="49"/>
      <c r="C857" s="49"/>
      <c r="D857" s="519"/>
      <c r="E857" s="583"/>
      <c r="F857" s="439"/>
      <c r="G857" s="329"/>
      <c r="H857" s="472"/>
      <c r="I857" s="396" t="s">
        <v>237</v>
      </c>
      <c r="J857" s="408"/>
      <c r="K857" s="409"/>
      <c r="L857" s="410"/>
      <c r="M857" s="17"/>
      <c r="N857" s="188"/>
      <c r="O857" s="188"/>
      <c r="P857" s="927"/>
    </row>
    <row r="858" spans="1:16" x14ac:dyDescent="0.2">
      <c r="A858" s="645"/>
      <c r="B858" s="646"/>
      <c r="C858" s="646"/>
      <c r="D858" s="645"/>
      <c r="E858" s="580" t="s">
        <v>236</v>
      </c>
      <c r="F858" s="439"/>
      <c r="G858" s="329"/>
      <c r="H858" s="460"/>
      <c r="I858" s="398" t="s">
        <v>444</v>
      </c>
      <c r="J858" s="411"/>
      <c r="K858" s="412"/>
      <c r="L858" s="413"/>
      <c r="N858" s="17"/>
    </row>
    <row r="859" spans="1:16" x14ac:dyDescent="0.2">
      <c r="A859" s="519"/>
      <c r="B859" s="49"/>
      <c r="D859" s="519"/>
      <c r="E859" s="579"/>
      <c r="F859" s="311"/>
      <c r="G859" s="321"/>
      <c r="H859" s="313"/>
      <c r="I859" s="266"/>
      <c r="J859" s="262"/>
      <c r="K859" s="245"/>
      <c r="L859" s="251"/>
      <c r="N859" s="17"/>
    </row>
    <row r="860" spans="1:16" x14ac:dyDescent="0.2">
      <c r="A860" s="519"/>
      <c r="B860" s="49"/>
      <c r="D860" s="519"/>
      <c r="E860" s="579"/>
      <c r="F860" s="311">
        <v>157</v>
      </c>
      <c r="G860" s="47"/>
      <c r="H860" s="311">
        <v>421</v>
      </c>
      <c r="I860" s="270" t="s">
        <v>7</v>
      </c>
      <c r="J860" s="53">
        <v>850000</v>
      </c>
      <c r="K860" s="231"/>
      <c r="L860" s="54">
        <f t="shared" ref="L860:L866" si="49">SUM(J860+K860)</f>
        <v>850000</v>
      </c>
      <c r="N860" s="17"/>
    </row>
    <row r="861" spans="1:16" x14ac:dyDescent="0.2">
      <c r="A861" s="519"/>
      <c r="B861" s="49"/>
      <c r="D861" s="519"/>
      <c r="E861" s="579"/>
      <c r="F861" s="311">
        <v>158</v>
      </c>
      <c r="G861" s="47"/>
      <c r="H861" s="311">
        <v>423</v>
      </c>
      <c r="I861" s="220" t="s">
        <v>9</v>
      </c>
      <c r="J861" s="53">
        <v>3300000</v>
      </c>
      <c r="K861" s="231">
        <v>80000</v>
      </c>
      <c r="L861" s="54">
        <f t="shared" si="49"/>
        <v>3380000</v>
      </c>
      <c r="N861" s="17"/>
    </row>
    <row r="862" spans="1:16" x14ac:dyDescent="0.2">
      <c r="A862" s="519"/>
      <c r="B862" s="49"/>
      <c r="D862" s="519"/>
      <c r="E862" s="579"/>
      <c r="F862" s="311">
        <v>159</v>
      </c>
      <c r="G862" s="47"/>
      <c r="H862" s="311">
        <v>424</v>
      </c>
      <c r="I862" s="220" t="s">
        <v>10</v>
      </c>
      <c r="J862" s="53">
        <v>4000000</v>
      </c>
      <c r="K862" s="231"/>
      <c r="L862" s="54">
        <f t="shared" si="49"/>
        <v>4000000</v>
      </c>
      <c r="N862" s="17"/>
    </row>
    <row r="863" spans="1:16" x14ac:dyDescent="0.2">
      <c r="A863" s="519"/>
      <c r="B863" s="49"/>
      <c r="D863" s="519"/>
      <c r="E863" s="579"/>
      <c r="F863" s="311">
        <v>160</v>
      </c>
      <c r="G863" s="47"/>
      <c r="H863" s="311">
        <v>425</v>
      </c>
      <c r="I863" s="220" t="s">
        <v>11</v>
      </c>
      <c r="J863" s="53">
        <v>200000</v>
      </c>
      <c r="K863" s="231"/>
      <c r="L863" s="54">
        <f t="shared" si="49"/>
        <v>200000</v>
      </c>
      <c r="N863" s="17"/>
    </row>
    <row r="864" spans="1:16" x14ac:dyDescent="0.2">
      <c r="A864" s="519"/>
      <c r="B864" s="49"/>
      <c r="D864" s="519"/>
      <c r="E864" s="579"/>
      <c r="F864" s="311">
        <v>161</v>
      </c>
      <c r="G864" s="47"/>
      <c r="H864" s="311">
        <v>426</v>
      </c>
      <c r="I864" s="220" t="s">
        <v>35</v>
      </c>
      <c r="J864" s="53">
        <v>320000</v>
      </c>
      <c r="K864" s="231">
        <v>125000</v>
      </c>
      <c r="L864" s="54">
        <f t="shared" si="49"/>
        <v>445000</v>
      </c>
      <c r="N864" s="17"/>
    </row>
    <row r="865" spans="1:14" x14ac:dyDescent="0.2">
      <c r="A865" s="519"/>
      <c r="B865" s="49"/>
      <c r="D865" s="519"/>
      <c r="E865" s="579"/>
      <c r="F865" s="311">
        <v>162</v>
      </c>
      <c r="G865" s="47"/>
      <c r="H865" s="311">
        <v>512</v>
      </c>
      <c r="I865" s="220" t="s">
        <v>51</v>
      </c>
      <c r="J865" s="53">
        <v>100000</v>
      </c>
      <c r="K865" s="231"/>
      <c r="L865" s="54">
        <f t="shared" si="49"/>
        <v>100000</v>
      </c>
      <c r="N865" s="17"/>
    </row>
    <row r="866" spans="1:14" x14ac:dyDescent="0.2">
      <c r="A866" s="519"/>
      <c r="B866" s="49"/>
      <c r="D866" s="519"/>
      <c r="E866" s="579"/>
      <c r="F866" s="311">
        <v>163</v>
      </c>
      <c r="G866" s="47"/>
      <c r="H866" s="311">
        <v>523</v>
      </c>
      <c r="I866" s="220" t="s">
        <v>24</v>
      </c>
      <c r="J866" s="53"/>
      <c r="K866" s="231">
        <v>70000</v>
      </c>
      <c r="L866" s="54">
        <f t="shared" si="49"/>
        <v>70000</v>
      </c>
      <c r="N866" s="17"/>
    </row>
    <row r="867" spans="1:14" ht="15" x14ac:dyDescent="0.2">
      <c r="A867" s="519"/>
      <c r="B867" s="49"/>
      <c r="C867" s="438"/>
      <c r="D867" s="519"/>
      <c r="E867" s="579"/>
      <c r="F867" s="311"/>
      <c r="G867" s="47"/>
      <c r="H867" s="312"/>
      <c r="I867" s="263"/>
      <c r="J867" s="264"/>
      <c r="K867" s="264"/>
      <c r="L867" s="265"/>
      <c r="N867" s="17"/>
    </row>
    <row r="868" spans="1:14" ht="15" x14ac:dyDescent="0.2">
      <c r="A868" s="519"/>
      <c r="B868" s="49"/>
      <c r="C868" s="438"/>
      <c r="D868" s="519"/>
      <c r="E868" s="579"/>
      <c r="F868" s="311"/>
      <c r="G868" s="55" t="s">
        <v>37</v>
      </c>
      <c r="H868" s="312"/>
      <c r="I868" s="220" t="s">
        <v>38</v>
      </c>
      <c r="J868" s="54">
        <f>SUM(J871-J870)</f>
        <v>7520000</v>
      </c>
      <c r="K868" s="54"/>
      <c r="L868" s="54">
        <f>SUM(J868+K868)</f>
        <v>7520000</v>
      </c>
      <c r="N868" s="17"/>
    </row>
    <row r="869" spans="1:14" ht="15" x14ac:dyDescent="0.2">
      <c r="A869" s="519"/>
      <c r="B869" s="49"/>
      <c r="C869" s="438"/>
      <c r="D869" s="519"/>
      <c r="E869" s="579"/>
      <c r="F869" s="311"/>
      <c r="G869" s="55" t="s">
        <v>55</v>
      </c>
      <c r="H869" s="312"/>
      <c r="I869" s="220" t="s">
        <v>56</v>
      </c>
      <c r="J869" s="54"/>
      <c r="K869" s="54">
        <f>SUM(K860:K866)</f>
        <v>275000</v>
      </c>
      <c r="L869" s="54">
        <f>SUM(J869+K869)</f>
        <v>275000</v>
      </c>
      <c r="N869" s="17"/>
    </row>
    <row r="870" spans="1:14" ht="15" x14ac:dyDescent="0.2">
      <c r="A870" s="519"/>
      <c r="B870" s="49"/>
      <c r="C870" s="438"/>
      <c r="D870" s="519"/>
      <c r="E870" s="579"/>
      <c r="F870" s="311"/>
      <c r="G870" s="55" t="s">
        <v>113</v>
      </c>
      <c r="H870" s="313"/>
      <c r="I870" s="220" t="s">
        <v>280</v>
      </c>
      <c r="J870" s="54">
        <v>1250000</v>
      </c>
      <c r="K870" s="54"/>
      <c r="L870" s="54">
        <f>SUM(J870+K870)</f>
        <v>1250000</v>
      </c>
      <c r="N870" s="17"/>
    </row>
    <row r="871" spans="1:14" ht="15" x14ac:dyDescent="0.25">
      <c r="A871" s="519"/>
      <c r="B871" s="49"/>
      <c r="C871" s="438"/>
      <c r="D871" s="519"/>
      <c r="E871" s="579"/>
      <c r="F871" s="311"/>
      <c r="G871" s="47"/>
      <c r="H871" s="315"/>
      <c r="I871" s="229" t="s">
        <v>291</v>
      </c>
      <c r="J871" s="199">
        <f>SUM(J860:J866)</f>
        <v>8770000</v>
      </c>
      <c r="K871" s="199">
        <f>SUM(K860:K866)</f>
        <v>275000</v>
      </c>
      <c r="L871" s="199">
        <f>SUM(L868:L870)</f>
        <v>9045000</v>
      </c>
    </row>
    <row r="872" spans="1:14" ht="15" x14ac:dyDescent="0.25">
      <c r="A872" s="519"/>
      <c r="B872" s="49"/>
      <c r="C872" s="438"/>
      <c r="D872" s="519"/>
      <c r="E872" s="579"/>
      <c r="F872" s="311"/>
      <c r="G872" s="47"/>
      <c r="H872" s="315"/>
      <c r="I872" s="18"/>
      <c r="J872" s="192"/>
      <c r="K872" s="192"/>
      <c r="L872" s="327"/>
    </row>
    <row r="873" spans="1:14" ht="15" x14ac:dyDescent="0.25">
      <c r="A873" s="519"/>
      <c r="B873" s="49"/>
      <c r="C873" s="438"/>
      <c r="D873" s="519"/>
      <c r="E873" s="581" t="s">
        <v>377</v>
      </c>
      <c r="F873" s="391"/>
      <c r="G873" s="334"/>
      <c r="H873" s="469"/>
      <c r="I873" s="875" t="s">
        <v>876</v>
      </c>
      <c r="J873" s="192"/>
      <c r="K873" s="192"/>
      <c r="L873" s="327"/>
    </row>
    <row r="874" spans="1:14" ht="15" x14ac:dyDescent="0.2">
      <c r="A874" s="519"/>
      <c r="B874" s="49"/>
      <c r="C874" s="438"/>
      <c r="D874" s="519"/>
      <c r="E874" s="579"/>
      <c r="F874" s="311">
        <v>164</v>
      </c>
      <c r="G874" s="47"/>
      <c r="H874" s="312" t="s">
        <v>46</v>
      </c>
      <c r="I874" s="289" t="s">
        <v>10</v>
      </c>
      <c r="J874" s="59">
        <v>150000</v>
      </c>
      <c r="K874" s="59"/>
      <c r="L874" s="59">
        <f>SUM(J874:K874)</f>
        <v>150000</v>
      </c>
    </row>
    <row r="875" spans="1:14" ht="15" x14ac:dyDescent="0.2">
      <c r="A875" s="519"/>
      <c r="B875" s="49"/>
      <c r="C875" s="438"/>
      <c r="D875" s="519"/>
      <c r="E875" s="579"/>
      <c r="F875" s="311">
        <v>165</v>
      </c>
      <c r="G875" s="47"/>
      <c r="H875" s="312" t="s">
        <v>270</v>
      </c>
      <c r="I875" s="289" t="s">
        <v>584</v>
      </c>
      <c r="J875" s="59">
        <v>100000</v>
      </c>
      <c r="K875" s="59"/>
      <c r="L875" s="59">
        <f t="shared" ref="L875:L876" si="50">SUM(J875:K875)</f>
        <v>100000</v>
      </c>
    </row>
    <row r="876" spans="1:14" ht="15" x14ac:dyDescent="0.2">
      <c r="A876" s="519"/>
      <c r="B876" s="49"/>
      <c r="C876" s="438"/>
      <c r="D876" s="519"/>
      <c r="E876" s="579"/>
      <c r="F876" s="311">
        <v>166</v>
      </c>
      <c r="G876" s="47"/>
      <c r="H876" s="312" t="s">
        <v>271</v>
      </c>
      <c r="I876" s="289" t="s">
        <v>22</v>
      </c>
      <c r="J876" s="59">
        <v>5300000</v>
      </c>
      <c r="K876" s="59"/>
      <c r="L876" s="59">
        <f t="shared" si="50"/>
        <v>5300000</v>
      </c>
    </row>
    <row r="877" spans="1:14" ht="15" x14ac:dyDescent="0.2">
      <c r="A877" s="519"/>
      <c r="B877" s="49"/>
      <c r="C877" s="438"/>
      <c r="D877" s="519"/>
      <c r="E877" s="579"/>
      <c r="F877" s="311"/>
      <c r="G877" s="55" t="s">
        <v>37</v>
      </c>
      <c r="H877" s="312"/>
      <c r="I877" s="292" t="s">
        <v>38</v>
      </c>
      <c r="J877" s="59">
        <f>SUM(J874:J876)</f>
        <v>5550000</v>
      </c>
      <c r="K877" s="59"/>
      <c r="L877" s="59">
        <f>SUM(L874:L876)</f>
        <v>5550000</v>
      </c>
      <c r="M877" s="188"/>
    </row>
    <row r="878" spans="1:14" ht="15" x14ac:dyDescent="0.25">
      <c r="A878" s="519"/>
      <c r="B878" s="49"/>
      <c r="C878" s="438"/>
      <c r="D878" s="519"/>
      <c r="E878" s="579"/>
      <c r="F878" s="311"/>
      <c r="G878" s="47"/>
      <c r="H878" s="315"/>
      <c r="I878" s="300" t="s">
        <v>704</v>
      </c>
      <c r="J878" s="199">
        <f>SUM(J877)</f>
        <v>5550000</v>
      </c>
      <c r="K878" s="199"/>
      <c r="L878" s="199">
        <f>SUM(L877)</f>
        <v>5550000</v>
      </c>
    </row>
    <row r="879" spans="1:14" ht="15" x14ac:dyDescent="0.2">
      <c r="A879" s="519"/>
      <c r="B879" s="49"/>
      <c r="C879" s="438"/>
      <c r="D879" s="519"/>
      <c r="E879" s="579"/>
      <c r="F879" s="311"/>
      <c r="G879" s="47"/>
      <c r="H879" s="647"/>
      <c r="I879" s="18"/>
      <c r="J879" s="192"/>
      <c r="K879" s="192"/>
      <c r="L879" s="327"/>
      <c r="N879" s="17"/>
    </row>
    <row r="880" spans="1:14" x14ac:dyDescent="0.2">
      <c r="A880" s="519"/>
      <c r="B880" s="49"/>
      <c r="D880" s="519"/>
      <c r="E880" s="579"/>
      <c r="F880" s="311"/>
      <c r="G880" s="47"/>
      <c r="H880" s="312"/>
      <c r="I880" s="720" t="s">
        <v>711</v>
      </c>
      <c r="J880" s="721">
        <f>SUM(J871+J855+J878)</f>
        <v>21118300</v>
      </c>
      <c r="K880" s="721">
        <f>SUM(K871+K855+K878)</f>
        <v>282000</v>
      </c>
      <c r="L880" s="721">
        <f>SUM(L871+L855+L878)</f>
        <v>21400300</v>
      </c>
      <c r="N880" s="17"/>
    </row>
    <row r="881" spans="1:16" x14ac:dyDescent="0.2">
      <c r="A881" s="645"/>
      <c r="B881" s="646"/>
      <c r="C881" s="646"/>
      <c r="D881" s="625"/>
      <c r="E881" s="626"/>
      <c r="F881" s="442"/>
      <c r="G881" s="47"/>
      <c r="H881" s="313"/>
      <c r="I881" s="288"/>
      <c r="J881" s="80"/>
      <c r="K881" s="80"/>
      <c r="L881" s="260"/>
    </row>
    <row r="882" spans="1:16" x14ac:dyDescent="0.2">
      <c r="A882" s="689"/>
      <c r="B882" s="690"/>
      <c r="C882" s="690"/>
      <c r="D882" s="616" t="s">
        <v>254</v>
      </c>
      <c r="E882" s="617"/>
      <c r="F882" s="701"/>
      <c r="G882" s="691"/>
      <c r="H882" s="692"/>
      <c r="I882" s="693" t="s">
        <v>458</v>
      </c>
      <c r="J882" s="694">
        <f>SUM(J892+J903+J911+J918+J926+J933+J939+J944+J949+J954)</f>
        <v>249474825</v>
      </c>
      <c r="K882" s="694"/>
      <c r="L882" s="722">
        <f>SUM(J882:K882)</f>
        <v>249474825</v>
      </c>
    </row>
    <row r="883" spans="1:16" x14ac:dyDescent="0.2">
      <c r="A883" s="519"/>
      <c r="B883" s="49"/>
      <c r="E883" s="579"/>
      <c r="F883" s="311"/>
      <c r="G883" s="321"/>
      <c r="H883" s="470"/>
      <c r="I883" s="266"/>
      <c r="J883" s="30"/>
      <c r="K883" s="30"/>
      <c r="L883" s="61"/>
    </row>
    <row r="884" spans="1:16" x14ac:dyDescent="0.2">
      <c r="A884" s="519"/>
      <c r="B884" s="49"/>
      <c r="E884" s="583"/>
      <c r="F884" s="439"/>
      <c r="G884" s="329"/>
      <c r="H884" s="457"/>
      <c r="I884" s="396" t="s">
        <v>272</v>
      </c>
      <c r="J884" s="397"/>
      <c r="K884" s="397"/>
      <c r="L884" s="415"/>
    </row>
    <row r="885" spans="1:16" ht="22.5" x14ac:dyDescent="0.2">
      <c r="A885" s="613"/>
      <c r="B885" s="436"/>
      <c r="C885" s="436"/>
      <c r="D885" s="367"/>
      <c r="E885" s="580" t="s">
        <v>255</v>
      </c>
      <c r="F885" s="439"/>
      <c r="G885" s="329"/>
      <c r="H885" s="460"/>
      <c r="I885" s="723" t="s">
        <v>459</v>
      </c>
      <c r="J885" s="399"/>
      <c r="K885" s="399"/>
      <c r="L885" s="402"/>
    </row>
    <row r="886" spans="1:16" x14ac:dyDescent="0.2">
      <c r="A886" s="613"/>
      <c r="B886" s="436"/>
      <c r="C886" s="436"/>
      <c r="D886" s="521"/>
      <c r="E886" s="582"/>
      <c r="F886" s="441" t="s">
        <v>217</v>
      </c>
      <c r="G886" s="230"/>
      <c r="H886" s="313"/>
      <c r="I886" s="18"/>
      <c r="J886" s="31"/>
      <c r="K886" s="31"/>
      <c r="L886" s="77"/>
    </row>
    <row r="887" spans="1:16" s="190" customFormat="1" ht="15" x14ac:dyDescent="0.25">
      <c r="A887" s="613"/>
      <c r="B887" s="436"/>
      <c r="C887" s="436">
        <v>421</v>
      </c>
      <c r="D887" s="521"/>
      <c r="E887" s="582"/>
      <c r="F887" s="441"/>
      <c r="G887" s="230"/>
      <c r="H887" s="314"/>
      <c r="I887" s="297" t="s">
        <v>300</v>
      </c>
      <c r="J887" s="76"/>
      <c r="K887" s="76"/>
      <c r="L887" s="218"/>
      <c r="M887" s="189"/>
      <c r="N887" s="929"/>
      <c r="O887" s="188"/>
      <c r="P887" s="927"/>
    </row>
    <row r="888" spans="1:16" x14ac:dyDescent="0.2">
      <c r="A888" s="519"/>
      <c r="B888" s="49"/>
      <c r="E888" s="579"/>
      <c r="F888" s="311"/>
      <c r="G888" s="230"/>
      <c r="H888" s="312"/>
      <c r="I888" s="18"/>
      <c r="J888" s="31"/>
      <c r="K888" s="31"/>
      <c r="L888" s="77"/>
      <c r="M888" s="189"/>
    </row>
    <row r="889" spans="1:16" x14ac:dyDescent="0.2">
      <c r="A889" s="519"/>
      <c r="B889" s="49"/>
      <c r="E889" s="579"/>
      <c r="F889" s="311">
        <v>167</v>
      </c>
      <c r="G889" s="47"/>
      <c r="H889" s="311">
        <v>424</v>
      </c>
      <c r="I889" s="270" t="s">
        <v>108</v>
      </c>
      <c r="J889" s="59">
        <v>1750000</v>
      </c>
      <c r="K889" s="59"/>
      <c r="L889" s="59">
        <f>SUM(J889+K889)</f>
        <v>1750000</v>
      </c>
    </row>
    <row r="890" spans="1:16" s="191" customFormat="1" x14ac:dyDescent="0.2">
      <c r="A890" s="519"/>
      <c r="B890" s="49"/>
      <c r="C890" s="49"/>
      <c r="D890" s="50"/>
      <c r="E890" s="579"/>
      <c r="F890" s="311">
        <v>168</v>
      </c>
      <c r="G890" s="47"/>
      <c r="H890" s="311">
        <v>425</v>
      </c>
      <c r="I890" s="270" t="s">
        <v>11</v>
      </c>
      <c r="J890" s="59">
        <v>300000</v>
      </c>
      <c r="K890" s="59"/>
      <c r="L890" s="59">
        <f>SUM(J890+K890)</f>
        <v>300000</v>
      </c>
      <c r="M890" s="17"/>
      <c r="N890" s="920"/>
      <c r="O890" s="189"/>
      <c r="P890" s="166"/>
    </row>
    <row r="891" spans="1:16" s="191" customFormat="1" x14ac:dyDescent="0.2">
      <c r="A891" s="519"/>
      <c r="B891" s="49"/>
      <c r="C891" s="49"/>
      <c r="D891" s="519"/>
      <c r="E891" s="579"/>
      <c r="F891" s="311">
        <v>169</v>
      </c>
      <c r="G891" s="47"/>
      <c r="H891" s="311">
        <v>426</v>
      </c>
      <c r="I891" s="270" t="s">
        <v>35</v>
      </c>
      <c r="J891" s="59">
        <v>2700000</v>
      </c>
      <c r="K891" s="59"/>
      <c r="L891" s="59">
        <f>SUM(J891+K891)</f>
        <v>2700000</v>
      </c>
      <c r="M891" s="17"/>
      <c r="N891" s="920"/>
      <c r="O891" s="189"/>
      <c r="P891" s="166"/>
    </row>
    <row r="892" spans="1:16" x14ac:dyDescent="0.2">
      <c r="A892" s="519"/>
      <c r="B892" s="49"/>
      <c r="D892" s="519"/>
      <c r="E892" s="579"/>
      <c r="F892" s="311"/>
      <c r="G892" s="47"/>
      <c r="H892" s="312"/>
      <c r="I892" s="295" t="s">
        <v>611</v>
      </c>
      <c r="J892" s="351">
        <f>SUM(J889:J891)</f>
        <v>4750000</v>
      </c>
      <c r="K892" s="351"/>
      <c r="L892" s="351">
        <f>SUM(L889:L891)</f>
        <v>4750000</v>
      </c>
    </row>
    <row r="893" spans="1:16" x14ac:dyDescent="0.2">
      <c r="A893" s="519"/>
      <c r="B893" s="49"/>
      <c r="D893" s="519"/>
      <c r="E893" s="579"/>
      <c r="F893" s="311"/>
      <c r="G893" s="55" t="s">
        <v>37</v>
      </c>
      <c r="H893" s="313"/>
      <c r="I893" s="296" t="s">
        <v>38</v>
      </c>
      <c r="J893" s="59">
        <f>SUM(J892-J894)</f>
        <v>3750000</v>
      </c>
      <c r="K893" s="59"/>
      <c r="L893" s="59">
        <f>SUM(J893+K893)</f>
        <v>3750000</v>
      </c>
    </row>
    <row r="894" spans="1:16" x14ac:dyDescent="0.2">
      <c r="A894" s="519"/>
      <c r="B894" s="49"/>
      <c r="D894" s="519"/>
      <c r="E894" s="579"/>
      <c r="F894" s="311"/>
      <c r="G894" s="55" t="s">
        <v>113</v>
      </c>
      <c r="H894" s="340"/>
      <c r="I894" s="220" t="s">
        <v>280</v>
      </c>
      <c r="J894" s="121">
        <v>1000000</v>
      </c>
      <c r="K894" s="121"/>
      <c r="L894" s="121">
        <f>SUM(J893:K893)</f>
        <v>3750000</v>
      </c>
    </row>
    <row r="895" spans="1:16" x14ac:dyDescent="0.2">
      <c r="A895" s="519"/>
      <c r="B895" s="49"/>
      <c r="E895" s="579"/>
      <c r="F895" s="311"/>
      <c r="G895" s="47"/>
      <c r="H895" s="470"/>
      <c r="I895" s="26"/>
      <c r="J895" s="30"/>
      <c r="K895" s="30"/>
      <c r="L895" s="61"/>
    </row>
    <row r="896" spans="1:16" x14ac:dyDescent="0.2">
      <c r="A896" s="519"/>
      <c r="B896" s="49"/>
      <c r="E896" s="580"/>
      <c r="F896" s="439"/>
      <c r="G896" s="329"/>
      <c r="H896" s="457"/>
      <c r="I896" s="396" t="s">
        <v>237</v>
      </c>
      <c r="J896" s="397"/>
      <c r="K896" s="397"/>
      <c r="L896" s="415"/>
    </row>
    <row r="897" spans="1:16" x14ac:dyDescent="0.2">
      <c r="A897" s="613"/>
      <c r="B897" s="436"/>
      <c r="C897" s="436"/>
      <c r="D897" s="367"/>
      <c r="E897" s="580" t="s">
        <v>419</v>
      </c>
      <c r="F897" s="439"/>
      <c r="G897" s="329"/>
      <c r="H897" s="439"/>
      <c r="I897" s="398" t="s">
        <v>460</v>
      </c>
      <c r="J897" s="399"/>
      <c r="K897" s="399"/>
      <c r="L897" s="402"/>
    </row>
    <row r="898" spans="1:16" x14ac:dyDescent="0.2">
      <c r="A898" s="613"/>
      <c r="B898" s="436"/>
      <c r="C898" s="436"/>
      <c r="D898" s="521"/>
      <c r="E898" s="582"/>
      <c r="F898" s="441"/>
      <c r="G898" s="230"/>
      <c r="H898" s="312"/>
      <c r="I898" s="18"/>
      <c r="J898" s="31"/>
      <c r="K898" s="31"/>
      <c r="L898" s="77"/>
    </row>
    <row r="899" spans="1:16" ht="15" x14ac:dyDescent="0.25">
      <c r="A899" s="613"/>
      <c r="B899" s="436"/>
      <c r="C899" s="436">
        <v>421</v>
      </c>
      <c r="D899" s="521"/>
      <c r="E899" s="582"/>
      <c r="F899" s="441"/>
      <c r="G899" s="230"/>
      <c r="H899" s="315"/>
      <c r="I899" s="297" t="s">
        <v>300</v>
      </c>
      <c r="J899" s="76"/>
      <c r="K899" s="76"/>
      <c r="L899" s="218"/>
    </row>
    <row r="900" spans="1:16" x14ac:dyDescent="0.2">
      <c r="A900" s="519"/>
      <c r="B900" s="49"/>
      <c r="E900" s="579"/>
      <c r="F900" s="311"/>
      <c r="G900" s="230"/>
      <c r="H900" s="312"/>
      <c r="I900" s="18"/>
      <c r="J900" s="31"/>
      <c r="K900" s="31"/>
      <c r="L900" s="77"/>
    </row>
    <row r="901" spans="1:16" ht="33.75" x14ac:dyDescent="0.2">
      <c r="A901" s="519"/>
      <c r="B901" s="49"/>
      <c r="D901" s="519"/>
      <c r="E901" s="579"/>
      <c r="F901" s="311">
        <v>170</v>
      </c>
      <c r="G901" s="47"/>
      <c r="H901" s="312" t="s">
        <v>82</v>
      </c>
      <c r="I901" s="219" t="s">
        <v>420</v>
      </c>
      <c r="J901" s="64">
        <v>34000000</v>
      </c>
      <c r="K901" s="59"/>
      <c r="L901" s="59">
        <f>SUM(J901+K901)</f>
        <v>34000000</v>
      </c>
    </row>
    <row r="902" spans="1:16" ht="22.5" x14ac:dyDescent="0.2">
      <c r="A902" s="519"/>
      <c r="B902" s="49"/>
      <c r="D902" s="519"/>
      <c r="E902" s="579"/>
      <c r="F902" s="311">
        <v>171</v>
      </c>
      <c r="G902" s="47"/>
      <c r="H902" s="312" t="s">
        <v>82</v>
      </c>
      <c r="I902" s="272" t="s">
        <v>318</v>
      </c>
      <c r="J902" s="64">
        <v>8742825</v>
      </c>
      <c r="K902" s="59"/>
      <c r="L902" s="59">
        <f>SUM(J902+K902)</f>
        <v>8742825</v>
      </c>
    </row>
    <row r="903" spans="1:16" x14ac:dyDescent="0.2">
      <c r="A903" s="519"/>
      <c r="B903" s="49"/>
      <c r="D903" s="519"/>
      <c r="E903" s="579"/>
      <c r="F903" s="311"/>
      <c r="G903" s="47"/>
      <c r="H903" s="313"/>
      <c r="I903" s="229" t="s">
        <v>612</v>
      </c>
      <c r="J903" s="60">
        <f>SUM(J901:J902)</f>
        <v>42742825</v>
      </c>
      <c r="K903" s="60"/>
      <c r="L903" s="60">
        <f>SUM(J903+K903)</f>
        <v>42742825</v>
      </c>
    </row>
    <row r="904" spans="1:16" s="190" customFormat="1" x14ac:dyDescent="0.2">
      <c r="A904" s="613"/>
      <c r="B904" s="436"/>
      <c r="C904" s="436"/>
      <c r="D904" s="367"/>
      <c r="E904" s="582"/>
      <c r="F904" s="441"/>
      <c r="G904" s="55" t="s">
        <v>37</v>
      </c>
      <c r="H904" s="313"/>
      <c r="I904" s="220" t="s">
        <v>38</v>
      </c>
      <c r="J904" s="59">
        <f>SUM(J903)</f>
        <v>42742825</v>
      </c>
      <c r="K904" s="59"/>
      <c r="L904" s="59">
        <f>SUM(J904+K904)</f>
        <v>42742825</v>
      </c>
      <c r="M904" s="17"/>
      <c r="N904" s="929"/>
      <c r="O904" s="188"/>
      <c r="P904" s="927"/>
    </row>
    <row r="905" spans="1:16" s="191" customFormat="1" x14ac:dyDescent="0.2">
      <c r="A905" s="519"/>
      <c r="B905" s="49"/>
      <c r="C905" s="49"/>
      <c r="D905" s="519"/>
      <c r="E905" s="579"/>
      <c r="F905" s="311"/>
      <c r="G905" s="230"/>
      <c r="H905" s="441"/>
      <c r="I905" s="263"/>
      <c r="J905" s="264"/>
      <c r="K905" s="264"/>
      <c r="L905" s="265"/>
      <c r="M905" s="17"/>
      <c r="N905" s="920"/>
      <c r="O905" s="189"/>
      <c r="P905" s="166"/>
    </row>
    <row r="906" spans="1:16" x14ac:dyDescent="0.2">
      <c r="A906" s="519"/>
      <c r="B906" s="49"/>
      <c r="D906" s="519"/>
      <c r="E906" s="583"/>
      <c r="F906" s="439"/>
      <c r="G906" s="329"/>
      <c r="H906" s="439"/>
      <c r="I906" s="396" t="s">
        <v>272</v>
      </c>
      <c r="J906" s="397"/>
      <c r="K906" s="397"/>
      <c r="L906" s="415"/>
    </row>
    <row r="907" spans="1:16" ht="22.5" x14ac:dyDescent="0.2">
      <c r="A907" s="519"/>
      <c r="B907" s="49"/>
      <c r="D907" s="519"/>
      <c r="E907" s="580" t="s">
        <v>255</v>
      </c>
      <c r="F907" s="439"/>
      <c r="G907" s="329"/>
      <c r="H907" s="439"/>
      <c r="I907" s="723" t="s">
        <v>459</v>
      </c>
      <c r="J907" s="399"/>
      <c r="K907" s="399"/>
      <c r="L907" s="402"/>
    </row>
    <row r="908" spans="1:16" ht="15" x14ac:dyDescent="0.25">
      <c r="A908" s="519"/>
      <c r="B908" s="49"/>
      <c r="C908" s="436"/>
      <c r="D908" s="367"/>
      <c r="E908" s="582"/>
      <c r="F908" s="441"/>
      <c r="G908" s="47"/>
      <c r="H908" s="315"/>
      <c r="I908" s="18"/>
      <c r="J908" s="31"/>
      <c r="K908" s="31"/>
      <c r="L908" s="77"/>
    </row>
    <row r="909" spans="1:16" x14ac:dyDescent="0.2">
      <c r="A909" s="519"/>
      <c r="B909" s="49"/>
      <c r="C909" s="49">
        <v>560</v>
      </c>
      <c r="E909" s="579"/>
      <c r="F909" s="311"/>
      <c r="G909" s="230"/>
      <c r="H909" s="441"/>
      <c r="I909" s="297" t="s">
        <v>303</v>
      </c>
      <c r="J909" s="76"/>
      <c r="K909" s="76"/>
      <c r="L909" s="218"/>
    </row>
    <row r="910" spans="1:16" x14ac:dyDescent="0.2">
      <c r="A910" s="519"/>
      <c r="B910" s="49"/>
      <c r="E910" s="579"/>
      <c r="F910" s="311">
        <v>172</v>
      </c>
      <c r="G910" s="47"/>
      <c r="H910" s="470" t="s">
        <v>628</v>
      </c>
      <c r="I910" s="219" t="s">
        <v>424</v>
      </c>
      <c r="J910" s="59">
        <v>18000000</v>
      </c>
      <c r="K910" s="59"/>
      <c r="L910" s="59">
        <f>SUM(J910+K910)</f>
        <v>18000000</v>
      </c>
    </row>
    <row r="911" spans="1:16" x14ac:dyDescent="0.2">
      <c r="A911" s="519"/>
      <c r="B911" s="49"/>
      <c r="D911" s="519"/>
      <c r="E911" s="579"/>
      <c r="F911" s="311"/>
      <c r="G911" s="47"/>
      <c r="H911" s="311"/>
      <c r="I911" s="298" t="s">
        <v>611</v>
      </c>
      <c r="J911" s="60">
        <f>SUM(J910)</f>
        <v>18000000</v>
      </c>
      <c r="K911" s="60"/>
      <c r="L911" s="60">
        <f t="shared" ref="L911" si="51">SUM(L910)</f>
        <v>18000000</v>
      </c>
    </row>
    <row r="912" spans="1:16" x14ac:dyDescent="0.2">
      <c r="A912" s="613"/>
      <c r="B912" s="436"/>
      <c r="C912" s="436"/>
      <c r="D912" s="367"/>
      <c r="E912" s="582"/>
      <c r="F912" s="441"/>
      <c r="G912" s="55" t="s">
        <v>37</v>
      </c>
      <c r="H912" s="311"/>
      <c r="I912" s="220" t="s">
        <v>38</v>
      </c>
      <c r="J912" s="59">
        <f>SUM(J911)</f>
        <v>18000000</v>
      </c>
      <c r="K912" s="59"/>
      <c r="L912" s="59">
        <f>SUM(J912+K912)</f>
        <v>18000000</v>
      </c>
    </row>
    <row r="913" spans="1:16" x14ac:dyDescent="0.2">
      <c r="A913" s="613"/>
      <c r="B913" s="436"/>
      <c r="C913" s="436"/>
      <c r="D913" s="521"/>
      <c r="E913" s="582"/>
      <c r="F913" s="441"/>
      <c r="G913" s="230"/>
      <c r="H913" s="311"/>
      <c r="I913" s="78"/>
      <c r="J913" s="224"/>
      <c r="K913" s="224"/>
      <c r="L913" s="328"/>
    </row>
    <row r="914" spans="1:16" x14ac:dyDescent="0.2">
      <c r="B914" s="49"/>
      <c r="C914" s="49">
        <v>421</v>
      </c>
      <c r="E914" s="584"/>
      <c r="F914" s="311"/>
      <c r="G914" s="230"/>
      <c r="H914" s="311"/>
      <c r="I914" s="297" t="s">
        <v>300</v>
      </c>
      <c r="J914" s="261"/>
      <c r="K914" s="261"/>
      <c r="L914" s="724"/>
    </row>
    <row r="915" spans="1:16" ht="15" x14ac:dyDescent="0.25">
      <c r="B915" s="436"/>
      <c r="C915" s="717"/>
      <c r="D915" s="367"/>
      <c r="E915" s="579"/>
      <c r="F915" s="311"/>
      <c r="G915" s="47"/>
      <c r="H915" s="315"/>
      <c r="I915" s="26"/>
      <c r="J915" s="30"/>
      <c r="K915" s="30"/>
      <c r="L915" s="61"/>
    </row>
    <row r="916" spans="1:16" ht="22.5" x14ac:dyDescent="0.2">
      <c r="B916" s="49"/>
      <c r="E916" s="581" t="s">
        <v>254</v>
      </c>
      <c r="F916" s="391"/>
      <c r="G916" s="334"/>
      <c r="H916" s="461"/>
      <c r="I916" s="876" t="s">
        <v>875</v>
      </c>
      <c r="J916" s="326"/>
      <c r="K916" s="326"/>
      <c r="L916" s="57"/>
    </row>
    <row r="917" spans="1:16" x14ac:dyDescent="0.2">
      <c r="B917" s="49"/>
      <c r="E917" s="579"/>
      <c r="F917" s="311">
        <v>173</v>
      </c>
      <c r="G917" s="47"/>
      <c r="H917" s="311">
        <v>424</v>
      </c>
      <c r="I917" s="270" t="s">
        <v>179</v>
      </c>
      <c r="J917" s="64">
        <v>66500000</v>
      </c>
      <c r="K917" s="59"/>
      <c r="L917" s="59">
        <f>SUM(J917+K917)</f>
        <v>66500000</v>
      </c>
    </row>
    <row r="918" spans="1:16" x14ac:dyDescent="0.2">
      <c r="B918" s="49"/>
      <c r="D918" s="519"/>
      <c r="E918" s="579"/>
      <c r="F918" s="311"/>
      <c r="G918" s="47"/>
      <c r="H918" s="311"/>
      <c r="I918" s="299" t="s">
        <v>710</v>
      </c>
      <c r="J918" s="60">
        <f>SUM(J917)</f>
        <v>66500000</v>
      </c>
      <c r="K918" s="59"/>
      <c r="L918" s="56">
        <f>SUM(L917:L917)</f>
        <v>66500000</v>
      </c>
      <c r="M918" s="188"/>
    </row>
    <row r="919" spans="1:16" x14ac:dyDescent="0.2">
      <c r="B919" s="49"/>
      <c r="D919" s="519"/>
      <c r="E919" s="579"/>
      <c r="F919" s="311"/>
      <c r="G919" s="55" t="s">
        <v>37</v>
      </c>
      <c r="H919" s="311"/>
      <c r="I919" s="220" t="s">
        <v>38</v>
      </c>
      <c r="J919" s="64">
        <f>SUM(J918)-J920</f>
        <v>56500000</v>
      </c>
      <c r="K919" s="60"/>
      <c r="L919" s="59">
        <f>SUM(J919+K919)</f>
        <v>56500000</v>
      </c>
      <c r="M919" s="188"/>
    </row>
    <row r="920" spans="1:16" x14ac:dyDescent="0.2">
      <c r="B920" s="49"/>
      <c r="E920" s="584"/>
      <c r="F920" s="311"/>
      <c r="G920" s="55" t="s">
        <v>113</v>
      </c>
      <c r="H920" s="311"/>
      <c r="I920" s="220" t="s">
        <v>280</v>
      </c>
      <c r="J920" s="64">
        <v>10000000</v>
      </c>
      <c r="K920" s="60"/>
      <c r="L920" s="59">
        <f>SUM(J920+K920)</f>
        <v>10000000</v>
      </c>
    </row>
    <row r="921" spans="1:16" x14ac:dyDescent="0.2">
      <c r="B921" s="436"/>
      <c r="C921" s="717"/>
      <c r="D921" s="367"/>
      <c r="E921" s="579"/>
      <c r="F921" s="311"/>
      <c r="G921" s="47"/>
      <c r="H921" s="311"/>
      <c r="I921" s="223"/>
      <c r="J921" s="30"/>
      <c r="K921" s="31"/>
      <c r="L921" s="77"/>
    </row>
    <row r="922" spans="1:16" s="190" customFormat="1" ht="22.5" x14ac:dyDescent="0.2">
      <c r="A922" s="50"/>
      <c r="B922" s="436"/>
      <c r="C922" s="717"/>
      <c r="D922" s="367"/>
      <c r="E922" s="581" t="s">
        <v>254</v>
      </c>
      <c r="F922" s="391"/>
      <c r="G922" s="334"/>
      <c r="H922" s="461"/>
      <c r="I922" s="876" t="s">
        <v>953</v>
      </c>
      <c r="J922" s="326"/>
      <c r="K922" s="326"/>
      <c r="L922" s="57"/>
      <c r="M922" s="17"/>
      <c r="N922" s="929"/>
      <c r="O922" s="188"/>
      <c r="P922" s="927"/>
    </row>
    <row r="923" spans="1:16" s="190" customFormat="1" x14ac:dyDescent="0.2">
      <c r="A923" s="711"/>
      <c r="B923" s="646"/>
      <c r="C923" s="893"/>
      <c r="D923" s="711"/>
      <c r="E923" s="626"/>
      <c r="F923" s="882" t="s">
        <v>992</v>
      </c>
      <c r="G923" s="883"/>
      <c r="H923" s="882">
        <v>424</v>
      </c>
      <c r="I923" s="891" t="s">
        <v>179</v>
      </c>
      <c r="J923" s="889">
        <v>400000</v>
      </c>
      <c r="K923" s="889"/>
      <c r="L923" s="889">
        <f>SUM(J923:K923)</f>
        <v>400000</v>
      </c>
      <c r="M923" s="188"/>
      <c r="N923" s="929"/>
      <c r="O923" s="188"/>
      <c r="P923" s="927"/>
    </row>
    <row r="924" spans="1:16" s="190" customFormat="1" x14ac:dyDescent="0.2">
      <c r="A924" s="50"/>
      <c r="B924" s="49"/>
      <c r="C924" s="49"/>
      <c r="D924" s="50"/>
      <c r="E924" s="579"/>
      <c r="F924" s="311">
        <v>174</v>
      </c>
      <c r="G924" s="47"/>
      <c r="H924" s="468">
        <v>511</v>
      </c>
      <c r="I924" s="220" t="s">
        <v>20</v>
      </c>
      <c r="J924" s="59">
        <v>1100000</v>
      </c>
      <c r="K924" s="60"/>
      <c r="L924" s="59">
        <f>SUM(J924:K924)</f>
        <v>1100000</v>
      </c>
      <c r="M924" s="17"/>
      <c r="N924" s="929"/>
      <c r="O924" s="188"/>
      <c r="P924" s="927"/>
    </row>
    <row r="925" spans="1:16" s="190" customFormat="1" x14ac:dyDescent="0.2">
      <c r="A925" s="50"/>
      <c r="B925" s="49"/>
      <c r="C925" s="49"/>
      <c r="D925" s="50"/>
      <c r="E925" s="579"/>
      <c r="F925" s="311" t="s">
        <v>991</v>
      </c>
      <c r="G925" s="47"/>
      <c r="H925" s="442">
        <v>541</v>
      </c>
      <c r="I925" s="220" t="s">
        <v>25</v>
      </c>
      <c r="J925" s="64">
        <v>53150000</v>
      </c>
      <c r="K925" s="59"/>
      <c r="L925" s="59">
        <f>SUM(J925+K925)</f>
        <v>53150000</v>
      </c>
      <c r="M925" s="17"/>
      <c r="N925" s="929"/>
      <c r="O925" s="188"/>
      <c r="P925" s="927"/>
    </row>
    <row r="926" spans="1:16" s="190" customFormat="1" x14ac:dyDescent="0.2">
      <c r="A926" s="50"/>
      <c r="B926" s="49"/>
      <c r="C926" s="49"/>
      <c r="D926" s="519"/>
      <c r="E926" s="579"/>
      <c r="F926" s="311"/>
      <c r="G926" s="47"/>
      <c r="H926" s="311"/>
      <c r="I926" s="235" t="s">
        <v>710</v>
      </c>
      <c r="J926" s="60">
        <f>SUM(J923:J925)</f>
        <v>54650000</v>
      </c>
      <c r="K926" s="59"/>
      <c r="L926" s="56">
        <f>SUM(L923:L925)</f>
        <v>54650000</v>
      </c>
      <c r="M926" s="17"/>
      <c r="N926" s="929"/>
      <c r="O926" s="188"/>
      <c r="P926" s="927"/>
    </row>
    <row r="927" spans="1:16" s="190" customFormat="1" x14ac:dyDescent="0.2">
      <c r="A927" s="50"/>
      <c r="B927" s="49"/>
      <c r="C927" s="49"/>
      <c r="D927" s="519"/>
      <c r="E927" s="579"/>
      <c r="F927" s="311"/>
      <c r="G927" s="55" t="s">
        <v>37</v>
      </c>
      <c r="H927" s="311"/>
      <c r="I927" s="220" t="s">
        <v>38</v>
      </c>
      <c r="J927" s="64">
        <f>SUM(J926-J928)</f>
        <v>40150000</v>
      </c>
      <c r="K927" s="60"/>
      <c r="L927" s="59">
        <f>SUM(J927+K927)</f>
        <v>40150000</v>
      </c>
      <c r="M927" s="17"/>
      <c r="N927" s="929"/>
      <c r="O927" s="188"/>
      <c r="P927" s="927"/>
    </row>
    <row r="928" spans="1:16" s="190" customFormat="1" x14ac:dyDescent="0.2">
      <c r="A928" s="711"/>
      <c r="B928" s="646"/>
      <c r="C928" s="646"/>
      <c r="D928" s="645"/>
      <c r="E928" s="626"/>
      <c r="F928" s="442"/>
      <c r="G928" s="55" t="s">
        <v>113</v>
      </c>
      <c r="H928" s="311"/>
      <c r="I928" s="220" t="s">
        <v>280</v>
      </c>
      <c r="J928" s="64">
        <v>14500000</v>
      </c>
      <c r="K928" s="60"/>
      <c r="L928" s="59">
        <f>SUM(J928+K928)</f>
        <v>14500000</v>
      </c>
      <c r="M928" s="17"/>
      <c r="N928" s="929"/>
      <c r="O928" s="188"/>
      <c r="P928" s="927"/>
    </row>
    <row r="929" spans="1:16" x14ac:dyDescent="0.2">
      <c r="B929" s="436"/>
      <c r="C929" s="717"/>
      <c r="D929" s="367"/>
      <c r="E929" s="579"/>
      <c r="F929" s="311"/>
      <c r="G929" s="321"/>
      <c r="H929" s="311"/>
      <c r="I929" s="266"/>
      <c r="J929" s="30"/>
      <c r="K929" s="30"/>
      <c r="L929" s="61"/>
    </row>
    <row r="930" spans="1:16" ht="15" x14ac:dyDescent="0.25">
      <c r="B930" s="49"/>
      <c r="E930" s="581" t="s">
        <v>254</v>
      </c>
      <c r="F930" s="391"/>
      <c r="G930" s="334"/>
      <c r="H930" s="469"/>
      <c r="I930" s="876" t="s">
        <v>874</v>
      </c>
      <c r="J930" s="326"/>
      <c r="K930" s="76"/>
      <c r="L930" s="218"/>
    </row>
    <row r="931" spans="1:16" x14ac:dyDescent="0.2">
      <c r="B931" s="49"/>
      <c r="E931" s="579"/>
      <c r="F931" s="311">
        <v>175</v>
      </c>
      <c r="G931" s="47"/>
      <c r="H931" s="311">
        <v>426</v>
      </c>
      <c r="I931" s="270" t="s">
        <v>35</v>
      </c>
      <c r="J931" s="59">
        <v>3000000</v>
      </c>
      <c r="K931" s="59"/>
      <c r="L931" s="59">
        <f>SUM(J931+K931)</f>
        <v>3000000</v>
      </c>
    </row>
    <row r="932" spans="1:16" x14ac:dyDescent="0.2">
      <c r="B932" s="49"/>
      <c r="E932" s="579"/>
      <c r="F932" s="311">
        <v>176</v>
      </c>
      <c r="G932" s="47"/>
      <c r="H932" s="311">
        <v>512</v>
      </c>
      <c r="I932" s="270" t="s">
        <v>21</v>
      </c>
      <c r="J932" s="59">
        <v>10332000</v>
      </c>
      <c r="K932" s="59"/>
      <c r="L932" s="59">
        <f>SUM(J932+K932)</f>
        <v>10332000</v>
      </c>
    </row>
    <row r="933" spans="1:16" x14ac:dyDescent="0.2">
      <c r="B933" s="49"/>
      <c r="D933" s="519"/>
      <c r="E933" s="579"/>
      <c r="F933" s="311"/>
      <c r="G933" s="47"/>
      <c r="H933" s="311"/>
      <c r="I933" s="235" t="s">
        <v>710</v>
      </c>
      <c r="J933" s="60">
        <f>SUM(J931:J932)</f>
        <v>13332000</v>
      </c>
      <c r="K933" s="59"/>
      <c r="L933" s="56">
        <f>SUM(L931:L932)</f>
        <v>13332000</v>
      </c>
    </row>
    <row r="934" spans="1:16" x14ac:dyDescent="0.2">
      <c r="B934" s="49"/>
      <c r="D934" s="519"/>
      <c r="E934" s="579"/>
      <c r="F934" s="311"/>
      <c r="G934" s="55" t="s">
        <v>37</v>
      </c>
      <c r="H934" s="311"/>
      <c r="I934" s="220" t="s">
        <v>38</v>
      </c>
      <c r="J934" s="64">
        <f>SUM(J933)</f>
        <v>13332000</v>
      </c>
      <c r="K934" s="60"/>
      <c r="L934" s="59">
        <f>SUM(J934+K934)</f>
        <v>13332000</v>
      </c>
    </row>
    <row r="935" spans="1:16" x14ac:dyDescent="0.2">
      <c r="B935" s="49"/>
      <c r="E935" s="582"/>
      <c r="F935" s="311"/>
      <c r="G935" s="47"/>
      <c r="H935" s="311"/>
      <c r="I935" s="26"/>
      <c r="J935" s="30"/>
      <c r="K935" s="30"/>
      <c r="L935" s="61"/>
    </row>
    <row r="936" spans="1:16" ht="15" x14ac:dyDescent="0.25">
      <c r="B936" s="436"/>
      <c r="C936" s="717"/>
      <c r="D936" s="367"/>
      <c r="E936" s="579"/>
      <c r="F936" s="311"/>
      <c r="G936" s="47"/>
      <c r="H936" s="315"/>
      <c r="I936" s="223"/>
      <c r="J936" s="30"/>
      <c r="K936" s="31"/>
      <c r="L936" s="77"/>
    </row>
    <row r="937" spans="1:16" ht="22.5" x14ac:dyDescent="0.2">
      <c r="B937" s="49"/>
      <c r="E937" s="581" t="s">
        <v>254</v>
      </c>
      <c r="F937" s="391"/>
      <c r="G937" s="334"/>
      <c r="H937" s="391"/>
      <c r="I937" s="876" t="s">
        <v>873</v>
      </c>
      <c r="J937" s="326"/>
      <c r="K937" s="326"/>
      <c r="L937" s="57"/>
    </row>
    <row r="938" spans="1:16" x14ac:dyDescent="0.2">
      <c r="B938" s="49"/>
      <c r="E938" s="579"/>
      <c r="F938" s="311">
        <v>177</v>
      </c>
      <c r="G938" s="47"/>
      <c r="H938" s="311">
        <v>424</v>
      </c>
      <c r="I938" s="270" t="s">
        <v>10</v>
      </c>
      <c r="J938" s="59">
        <v>6000000</v>
      </c>
      <c r="K938" s="59"/>
      <c r="L938" s="59">
        <f>SUM(J938+K938)</f>
        <v>6000000</v>
      </c>
    </row>
    <row r="939" spans="1:16" ht="15" x14ac:dyDescent="0.25">
      <c r="B939" s="49"/>
      <c r="E939" s="579"/>
      <c r="F939" s="311"/>
      <c r="G939" s="47"/>
      <c r="H939" s="315"/>
      <c r="I939" s="299" t="s">
        <v>710</v>
      </c>
      <c r="J939" s="60">
        <f>SUM(J938:J938)</f>
        <v>6000000</v>
      </c>
      <c r="K939" s="59"/>
      <c r="L939" s="56">
        <f>SUM(L938:L938)</f>
        <v>6000000</v>
      </c>
      <c r="M939" s="188"/>
    </row>
    <row r="940" spans="1:16" x14ac:dyDescent="0.2">
      <c r="B940" s="49"/>
      <c r="D940" s="519"/>
      <c r="E940" s="582"/>
      <c r="F940" s="311"/>
      <c r="G940" s="55" t="s">
        <v>37</v>
      </c>
      <c r="H940" s="311"/>
      <c r="I940" s="220" t="s">
        <v>38</v>
      </c>
      <c r="J940" s="64">
        <f>SUM(J939)</f>
        <v>6000000</v>
      </c>
      <c r="K940" s="60"/>
      <c r="L940" s="59">
        <f>SUM(J940+K940)</f>
        <v>6000000</v>
      </c>
      <c r="M940" s="188"/>
    </row>
    <row r="941" spans="1:16" ht="15" x14ac:dyDescent="0.25">
      <c r="B941" s="49"/>
      <c r="D941" s="519"/>
      <c r="E941" s="579"/>
      <c r="F941" s="311"/>
      <c r="G941" s="47"/>
      <c r="H941" s="314"/>
      <c r="I941" s="223"/>
      <c r="J941" s="30"/>
      <c r="K941" s="31"/>
      <c r="L941" s="31"/>
    </row>
    <row r="942" spans="1:16" x14ac:dyDescent="0.2">
      <c r="B942" s="49"/>
      <c r="D942" s="519"/>
      <c r="E942" s="581" t="s">
        <v>254</v>
      </c>
      <c r="F942" s="391"/>
      <c r="G942" s="334"/>
      <c r="H942" s="391"/>
      <c r="I942" s="876" t="s">
        <v>872</v>
      </c>
      <c r="J942" s="326"/>
      <c r="K942" s="326"/>
      <c r="L942" s="57"/>
    </row>
    <row r="943" spans="1:16" s="190" customFormat="1" x14ac:dyDescent="0.2">
      <c r="A943" s="50"/>
      <c r="B943" s="49"/>
      <c r="C943" s="49"/>
      <c r="D943" s="519"/>
      <c r="E943" s="579"/>
      <c r="F943" s="311">
        <v>178</v>
      </c>
      <c r="G943" s="47"/>
      <c r="H943" s="311">
        <v>424</v>
      </c>
      <c r="I943" s="270" t="s">
        <v>10</v>
      </c>
      <c r="J943" s="59">
        <v>4200000</v>
      </c>
      <c r="K943" s="59"/>
      <c r="L943" s="59">
        <f>SUM(J943+K943)</f>
        <v>4200000</v>
      </c>
      <c r="M943" s="17"/>
      <c r="N943" s="929"/>
      <c r="O943" s="188"/>
      <c r="P943" s="927"/>
    </row>
    <row r="944" spans="1:16" s="190" customFormat="1" x14ac:dyDescent="0.2">
      <c r="A944" s="50"/>
      <c r="B944" s="49"/>
      <c r="C944" s="49"/>
      <c r="D944" s="519"/>
      <c r="E944" s="579"/>
      <c r="F944" s="311"/>
      <c r="G944" s="47"/>
      <c r="H944" s="311"/>
      <c r="I944" s="299" t="s">
        <v>710</v>
      </c>
      <c r="J944" s="60">
        <f>SUM(J943:J943)</f>
        <v>4200000</v>
      </c>
      <c r="K944" s="59"/>
      <c r="L944" s="56">
        <f>SUM(L943:L943)</f>
        <v>4200000</v>
      </c>
      <c r="M944" s="17"/>
      <c r="N944" s="929"/>
      <c r="O944" s="188"/>
      <c r="P944" s="927"/>
    </row>
    <row r="945" spans="1:16" x14ac:dyDescent="0.2">
      <c r="B945" s="49"/>
      <c r="D945" s="519"/>
      <c r="E945" s="584"/>
      <c r="F945" s="311"/>
      <c r="G945" s="55" t="s">
        <v>37</v>
      </c>
      <c r="H945" s="311"/>
      <c r="I945" s="220" t="s">
        <v>38</v>
      </c>
      <c r="J945" s="64">
        <f>SUM(J944)</f>
        <v>4200000</v>
      </c>
      <c r="K945" s="60"/>
      <c r="L945" s="59">
        <f>SUM(J945+K945)</f>
        <v>4200000</v>
      </c>
    </row>
    <row r="946" spans="1:16" ht="15" x14ac:dyDescent="0.25">
      <c r="B946" s="49"/>
      <c r="D946" s="519"/>
      <c r="E946" s="579"/>
      <c r="F946" s="311"/>
      <c r="G946" s="47"/>
      <c r="H946" s="325"/>
      <c r="I946" s="223"/>
      <c r="J946" s="30"/>
      <c r="K946" s="31"/>
      <c r="L946" s="31"/>
    </row>
    <row r="947" spans="1:16" ht="37.5" customHeight="1" x14ac:dyDescent="0.2">
      <c r="B947" s="49"/>
      <c r="D947" s="519"/>
      <c r="E947" s="581" t="s">
        <v>254</v>
      </c>
      <c r="F947" s="391"/>
      <c r="G947" s="334"/>
      <c r="H947" s="391"/>
      <c r="I947" s="876" t="s">
        <v>1035</v>
      </c>
      <c r="J947" s="326"/>
      <c r="K947" s="326"/>
      <c r="L947" s="57"/>
    </row>
    <row r="948" spans="1:16" x14ac:dyDescent="0.2">
      <c r="B948" s="49"/>
      <c r="D948" s="519"/>
      <c r="E948" s="579"/>
      <c r="F948" s="311">
        <v>179</v>
      </c>
      <c r="G948" s="47"/>
      <c r="H948" s="312" t="s">
        <v>46</v>
      </c>
      <c r="I948" s="270" t="s">
        <v>10</v>
      </c>
      <c r="J948" s="59">
        <v>38700000</v>
      </c>
      <c r="K948" s="59"/>
      <c r="L948" s="59">
        <f>SUM(J948:K948)</f>
        <v>38700000</v>
      </c>
      <c r="M948" s="188"/>
      <c r="N948" s="942"/>
    </row>
    <row r="949" spans="1:16" ht="15" x14ac:dyDescent="0.25">
      <c r="B949" s="49"/>
      <c r="D949" s="519"/>
      <c r="E949" s="579"/>
      <c r="F949" s="311"/>
      <c r="G949" s="47"/>
      <c r="H949" s="315"/>
      <c r="I949" s="299" t="s">
        <v>704</v>
      </c>
      <c r="J949" s="60">
        <f>SUM(J948)</f>
        <v>38700000</v>
      </c>
      <c r="K949" s="59"/>
      <c r="L949" s="60">
        <f t="shared" ref="L949:L950" si="52">SUM(J949:K949)</f>
        <v>38700000</v>
      </c>
      <c r="M949" s="188"/>
      <c r="N949" s="942"/>
    </row>
    <row r="950" spans="1:16" x14ac:dyDescent="0.2">
      <c r="B950" s="49"/>
      <c r="D950" s="519"/>
      <c r="E950" s="579"/>
      <c r="F950" s="311"/>
      <c r="G950" s="55" t="s">
        <v>37</v>
      </c>
      <c r="H950" s="470"/>
      <c r="I950" s="220" t="s">
        <v>38</v>
      </c>
      <c r="J950" s="64">
        <f>SUM(J949)</f>
        <v>38700000</v>
      </c>
      <c r="K950" s="60"/>
      <c r="L950" s="59">
        <f t="shared" si="52"/>
        <v>38700000</v>
      </c>
    </row>
    <row r="951" spans="1:16" x14ac:dyDescent="0.2">
      <c r="B951" s="49"/>
      <c r="D951" s="519"/>
      <c r="E951" s="579"/>
      <c r="F951" s="311"/>
      <c r="G951" s="55"/>
      <c r="H951" s="470"/>
      <c r="I951" s="126"/>
      <c r="J951" s="380"/>
      <c r="K951" s="80"/>
      <c r="L951" s="232"/>
    </row>
    <row r="952" spans="1:16" ht="45" x14ac:dyDescent="0.2">
      <c r="B952" s="49"/>
      <c r="D952" s="519"/>
      <c r="E952" s="581" t="s">
        <v>254</v>
      </c>
      <c r="F952" s="391"/>
      <c r="G952" s="334"/>
      <c r="H952" s="391"/>
      <c r="I952" s="876" t="s">
        <v>1037</v>
      </c>
      <c r="J952" s="326"/>
      <c r="K952" s="326"/>
      <c r="L952" s="57"/>
    </row>
    <row r="953" spans="1:16" x14ac:dyDescent="0.2">
      <c r="B953" s="49"/>
      <c r="D953" s="519"/>
      <c r="E953" s="579"/>
      <c r="F953" s="311" t="s">
        <v>1036</v>
      </c>
      <c r="G953" s="47"/>
      <c r="H953" s="312" t="s">
        <v>46</v>
      </c>
      <c r="I953" s="270" t="s">
        <v>10</v>
      </c>
      <c r="J953" s="59">
        <v>600000</v>
      </c>
      <c r="K953" s="59"/>
      <c r="L953" s="59">
        <f>SUM(J953:K953)</f>
        <v>600000</v>
      </c>
    </row>
    <row r="954" spans="1:16" ht="15" x14ac:dyDescent="0.25">
      <c r="B954" s="49"/>
      <c r="D954" s="519"/>
      <c r="E954" s="579"/>
      <c r="F954" s="311"/>
      <c r="G954" s="47"/>
      <c r="H954" s="315"/>
      <c r="I954" s="299" t="s">
        <v>704</v>
      </c>
      <c r="J954" s="60">
        <f>SUM(J953)</f>
        <v>600000</v>
      </c>
      <c r="K954" s="59"/>
      <c r="L954" s="60">
        <f t="shared" ref="L954:L955" si="53">SUM(J954:K954)</f>
        <v>600000</v>
      </c>
    </row>
    <row r="955" spans="1:16" x14ac:dyDescent="0.2">
      <c r="B955" s="49"/>
      <c r="D955" s="519"/>
      <c r="E955" s="579"/>
      <c r="F955" s="311"/>
      <c r="G955" s="55" t="s">
        <v>37</v>
      </c>
      <c r="H955" s="470"/>
      <c r="I955" s="220" t="s">
        <v>38</v>
      </c>
      <c r="J955" s="64">
        <f>SUM(J954)</f>
        <v>600000</v>
      </c>
      <c r="K955" s="60"/>
      <c r="L955" s="59">
        <f t="shared" si="53"/>
        <v>600000</v>
      </c>
    </row>
    <row r="956" spans="1:16" s="190" customFormat="1" x14ac:dyDescent="0.2">
      <c r="A956" s="711"/>
      <c r="B956" s="646"/>
      <c r="C956" s="646"/>
      <c r="D956" s="625"/>
      <c r="E956" s="626"/>
      <c r="F956" s="442"/>
      <c r="G956" s="47"/>
      <c r="H956" s="313"/>
      <c r="I956" s="288"/>
      <c r="J956" s="80"/>
      <c r="K956" s="80"/>
      <c r="L956" s="260"/>
      <c r="M956" s="17"/>
      <c r="N956" s="929"/>
      <c r="O956" s="188"/>
      <c r="P956" s="927"/>
    </row>
    <row r="957" spans="1:16" x14ac:dyDescent="0.2">
      <c r="A957" s="718"/>
      <c r="B957" s="690"/>
      <c r="C957" s="690"/>
      <c r="D957" s="616" t="s">
        <v>257</v>
      </c>
      <c r="E957" s="617"/>
      <c r="F957" s="701"/>
      <c r="G957" s="691"/>
      <c r="H957" s="692"/>
      <c r="I957" s="693" t="s">
        <v>258</v>
      </c>
      <c r="J957" s="694">
        <f>SUM(J966+J974+J983+J994+J1001+J1008+J1015+J1020+J1025+J1030+J1035+J988)</f>
        <v>97273113.799999997</v>
      </c>
      <c r="K957" s="694"/>
      <c r="L957" s="694">
        <f>SUM(J957:K957)</f>
        <v>97273113.799999997</v>
      </c>
    </row>
    <row r="958" spans="1:16" ht="15" x14ac:dyDescent="0.25">
      <c r="B958" s="49"/>
      <c r="C958" s="511"/>
      <c r="D958" s="520"/>
      <c r="E958" s="579"/>
      <c r="F958" s="311"/>
      <c r="G958" s="230"/>
      <c r="H958" s="313"/>
      <c r="I958" s="18"/>
      <c r="J958" s="30"/>
      <c r="K958" s="30"/>
      <c r="L958" s="61"/>
    </row>
    <row r="959" spans="1:16" x14ac:dyDescent="0.2">
      <c r="B959" s="49"/>
      <c r="C959" s="49">
        <v>620</v>
      </c>
      <c r="D959" s="708"/>
      <c r="E959" s="710"/>
      <c r="F959" s="311"/>
      <c r="G959" s="47"/>
      <c r="H959" s="471"/>
      <c r="I959" s="287" t="s">
        <v>105</v>
      </c>
      <c r="J959" s="326"/>
      <c r="K959" s="326"/>
      <c r="L959" s="57"/>
    </row>
    <row r="960" spans="1:16" x14ac:dyDescent="0.2">
      <c r="B960" s="49"/>
      <c r="D960" s="49"/>
      <c r="E960" s="579"/>
      <c r="F960" s="311"/>
      <c r="G960" s="320"/>
      <c r="H960" s="311"/>
      <c r="I960" s="28"/>
      <c r="J960" s="30"/>
      <c r="K960" s="30"/>
      <c r="L960" s="61"/>
    </row>
    <row r="961" spans="1:16" ht="15" x14ac:dyDescent="0.25">
      <c r="B961" s="49"/>
      <c r="D961" s="49"/>
      <c r="E961" s="583"/>
      <c r="F961" s="439"/>
      <c r="G961" s="329"/>
      <c r="H961" s="472"/>
      <c r="I961" s="396" t="s">
        <v>412</v>
      </c>
      <c r="J961" s="494"/>
      <c r="K961" s="494"/>
      <c r="L961" s="331"/>
    </row>
    <row r="962" spans="1:16" x14ac:dyDescent="0.2">
      <c r="A962" s="711"/>
      <c r="B962" s="646"/>
      <c r="C962" s="646"/>
      <c r="D962" s="646"/>
      <c r="E962" s="580" t="s">
        <v>492</v>
      </c>
      <c r="F962" s="439"/>
      <c r="G962" s="329"/>
      <c r="H962" s="457"/>
      <c r="I962" s="398" t="s">
        <v>572</v>
      </c>
      <c r="J962" s="486"/>
      <c r="K962" s="486"/>
      <c r="L962" s="400"/>
    </row>
    <row r="963" spans="1:16" x14ac:dyDescent="0.2">
      <c r="B963" s="49"/>
      <c r="D963" s="519"/>
      <c r="E963" s="579"/>
      <c r="F963" s="311"/>
      <c r="G963" s="321"/>
      <c r="H963" s="647"/>
      <c r="I963" s="266"/>
      <c r="J963" s="30"/>
      <c r="K963" s="30"/>
      <c r="L963" s="61"/>
      <c r="M963" s="189"/>
      <c r="N963" s="17"/>
    </row>
    <row r="964" spans="1:16" x14ac:dyDescent="0.2">
      <c r="B964" s="49"/>
      <c r="D964" s="519"/>
      <c r="E964" s="579"/>
      <c r="F964" s="311">
        <v>180</v>
      </c>
      <c r="G964" s="47"/>
      <c r="H964" s="312" t="s">
        <v>46</v>
      </c>
      <c r="I964" s="270" t="s">
        <v>654</v>
      </c>
      <c r="J964" s="59">
        <v>8484240</v>
      </c>
      <c r="K964" s="59"/>
      <c r="L964" s="59">
        <f>SUM(J964+K964)</f>
        <v>8484240</v>
      </c>
    </row>
    <row r="965" spans="1:16" x14ac:dyDescent="0.2">
      <c r="B965" s="49"/>
      <c r="D965" s="519"/>
      <c r="E965" s="579"/>
      <c r="F965" s="311"/>
      <c r="G965" s="55" t="s">
        <v>37</v>
      </c>
      <c r="H965" s="313"/>
      <c r="I965" s="220" t="s">
        <v>38</v>
      </c>
      <c r="J965" s="59">
        <f>SUM(J964:J964)</f>
        <v>8484240</v>
      </c>
      <c r="K965" s="59"/>
      <c r="L965" s="59">
        <f>SUM(J965+K965)</f>
        <v>8484240</v>
      </c>
    </row>
    <row r="966" spans="1:16" x14ac:dyDescent="0.2">
      <c r="A966" s="519"/>
      <c r="B966" s="49"/>
      <c r="D966" s="519"/>
      <c r="E966" s="579"/>
      <c r="F966" s="311"/>
      <c r="G966" s="47"/>
      <c r="H966" s="313"/>
      <c r="I966" s="229" t="s">
        <v>622</v>
      </c>
      <c r="J966" s="60">
        <f>SUM(J965)</f>
        <v>8484240</v>
      </c>
      <c r="K966" s="60"/>
      <c r="L966" s="60">
        <f t="shared" ref="L966" si="54">SUM(L965)</f>
        <v>8484240</v>
      </c>
    </row>
    <row r="967" spans="1:16" s="191" customFormat="1" x14ac:dyDescent="0.2">
      <c r="A967" s="519"/>
      <c r="B967" s="49"/>
      <c r="C967" s="49"/>
      <c r="D967" s="519"/>
      <c r="E967" s="579"/>
      <c r="F967" s="311"/>
      <c r="G967" s="321"/>
      <c r="H967" s="311"/>
      <c r="I967" s="712"/>
      <c r="J967" s="80"/>
      <c r="K967" s="80"/>
      <c r="L967" s="260"/>
      <c r="M967" s="17"/>
      <c r="N967" s="920"/>
      <c r="O967" s="189"/>
      <c r="P967" s="166"/>
    </row>
    <row r="968" spans="1:16" x14ac:dyDescent="0.2">
      <c r="A968" s="519"/>
      <c r="B968" s="49"/>
      <c r="D968" s="519"/>
      <c r="E968" s="580"/>
      <c r="F968" s="439"/>
      <c r="G968" s="329"/>
      <c r="H968" s="439"/>
      <c r="I968" s="396" t="s">
        <v>274</v>
      </c>
      <c r="J968" s="397"/>
      <c r="K968" s="397"/>
      <c r="L968" s="415"/>
    </row>
    <row r="969" spans="1:16" x14ac:dyDescent="0.2">
      <c r="A969" s="519"/>
      <c r="B969" s="49"/>
      <c r="D969" s="519"/>
      <c r="E969" s="580" t="s">
        <v>638</v>
      </c>
      <c r="F969" s="439"/>
      <c r="G969" s="329"/>
      <c r="H969" s="439"/>
      <c r="I969" s="398" t="s">
        <v>639</v>
      </c>
      <c r="J969" s="399"/>
      <c r="K969" s="399"/>
      <c r="L969" s="402"/>
    </row>
    <row r="970" spans="1:16" x14ac:dyDescent="0.2">
      <c r="A970" s="519"/>
      <c r="B970" s="49"/>
      <c r="D970" s="49"/>
      <c r="E970" s="579"/>
      <c r="F970" s="311"/>
      <c r="G970" s="47"/>
      <c r="H970" s="311"/>
      <c r="I970" s="18"/>
      <c r="J970" s="31"/>
      <c r="K970" s="31"/>
      <c r="L970" s="77"/>
    </row>
    <row r="971" spans="1:16" x14ac:dyDescent="0.2">
      <c r="A971" s="519"/>
      <c r="B971" s="49"/>
      <c r="C971" s="49">
        <v>560</v>
      </c>
      <c r="D971" s="49"/>
      <c r="E971" s="579"/>
      <c r="F971" s="311"/>
      <c r="G971" s="47"/>
      <c r="H971" s="313"/>
      <c r="I971" s="725" t="s">
        <v>303</v>
      </c>
      <c r="J971" s="31"/>
      <c r="K971" s="31"/>
      <c r="L971" s="77"/>
    </row>
    <row r="972" spans="1:16" x14ac:dyDescent="0.2">
      <c r="A972" s="519"/>
      <c r="B972" s="49"/>
      <c r="E972" s="579"/>
      <c r="F972" s="311">
        <v>181</v>
      </c>
      <c r="G972" s="47"/>
      <c r="H972" s="470" t="s">
        <v>80</v>
      </c>
      <c r="I972" s="270" t="s">
        <v>277</v>
      </c>
      <c r="J972" s="59">
        <v>2000000</v>
      </c>
      <c r="K972" s="59"/>
      <c r="L972" s="59">
        <f>SUM(J972+K972)</f>
        <v>2000000</v>
      </c>
    </row>
    <row r="973" spans="1:16" ht="22.5" x14ac:dyDescent="0.2">
      <c r="A973" s="519"/>
      <c r="B973" s="49"/>
      <c r="E973" s="579"/>
      <c r="F973" s="311">
        <v>182</v>
      </c>
      <c r="G973" s="47"/>
      <c r="H973" s="312" t="s">
        <v>46</v>
      </c>
      <c r="I973" s="272" t="s">
        <v>678</v>
      </c>
      <c r="J973" s="59">
        <v>40000000</v>
      </c>
      <c r="K973" s="59"/>
      <c r="L973" s="59">
        <f>SUM(J973+K973)</f>
        <v>40000000</v>
      </c>
      <c r="N973" s="942"/>
    </row>
    <row r="974" spans="1:16" x14ac:dyDescent="0.2">
      <c r="A974" s="519"/>
      <c r="B974" s="49"/>
      <c r="E974" s="579"/>
      <c r="F974" s="311"/>
      <c r="G974" s="47"/>
      <c r="H974" s="313"/>
      <c r="I974" s="229" t="s">
        <v>662</v>
      </c>
      <c r="J974" s="60">
        <f>SUM(J972:J973)</f>
        <v>42000000</v>
      </c>
      <c r="K974" s="60"/>
      <c r="L974" s="60">
        <f>SUM(L975)</f>
        <v>42000000</v>
      </c>
    </row>
    <row r="975" spans="1:16" x14ac:dyDescent="0.2">
      <c r="A975" s="367"/>
      <c r="B975" s="367"/>
      <c r="C975" s="436"/>
      <c r="D975" s="521"/>
      <c r="E975" s="582"/>
      <c r="F975" s="441"/>
      <c r="G975" s="55" t="s">
        <v>37</v>
      </c>
      <c r="H975" s="313"/>
      <c r="I975" s="220" t="s">
        <v>38</v>
      </c>
      <c r="J975" s="59">
        <f>SUM(J972:J973)</f>
        <v>42000000</v>
      </c>
      <c r="K975" s="59"/>
      <c r="L975" s="59">
        <f>SUM(J974:K974)</f>
        <v>42000000</v>
      </c>
      <c r="M975" s="27"/>
    </row>
    <row r="976" spans="1:16" x14ac:dyDescent="0.2">
      <c r="D976" s="519"/>
      <c r="E976" s="579"/>
      <c r="F976" s="311"/>
      <c r="G976" s="230"/>
      <c r="H976" s="313"/>
      <c r="I976" s="18"/>
      <c r="J976" s="31"/>
      <c r="K976" s="31"/>
      <c r="L976" s="77"/>
    </row>
    <row r="977" spans="1:16" x14ac:dyDescent="0.2">
      <c r="B977" s="49"/>
      <c r="D977" s="49"/>
      <c r="E977" s="580"/>
      <c r="F977" s="439"/>
      <c r="G977" s="329"/>
      <c r="H977" s="460"/>
      <c r="I977" s="396" t="s">
        <v>275</v>
      </c>
      <c r="J977" s="397"/>
      <c r="K977" s="397"/>
      <c r="L977" s="415"/>
    </row>
    <row r="978" spans="1:16" x14ac:dyDescent="0.2">
      <c r="B978" s="49"/>
      <c r="D978" s="49"/>
      <c r="E978" s="580" t="s">
        <v>461</v>
      </c>
      <c r="F978" s="439"/>
      <c r="G978" s="329"/>
      <c r="H978" s="439"/>
      <c r="I978" s="398" t="s">
        <v>259</v>
      </c>
      <c r="J978" s="399"/>
      <c r="K978" s="399"/>
      <c r="L978" s="402"/>
    </row>
    <row r="979" spans="1:16" s="182" customFormat="1" ht="15" x14ac:dyDescent="0.25">
      <c r="A979" s="50"/>
      <c r="B979" s="49"/>
      <c r="C979" s="514"/>
      <c r="D979" s="49"/>
      <c r="E979" s="579"/>
      <c r="F979" s="311"/>
      <c r="G979" s="47"/>
      <c r="H979" s="311"/>
      <c r="I979" s="726"/>
      <c r="J979" s="31"/>
      <c r="K979" s="31"/>
      <c r="L979" s="77"/>
      <c r="M979" s="154"/>
      <c r="N979" s="926"/>
      <c r="O979" s="154"/>
      <c r="P979" s="140"/>
    </row>
    <row r="980" spans="1:16" s="182" customFormat="1" ht="15" x14ac:dyDescent="0.25">
      <c r="A980" s="50"/>
      <c r="B980" s="49"/>
      <c r="C980" s="49">
        <v>510</v>
      </c>
      <c r="D980" s="49"/>
      <c r="E980" s="579"/>
      <c r="F980" s="311"/>
      <c r="G980" s="47"/>
      <c r="H980" s="315"/>
      <c r="I980" s="238" t="s">
        <v>112</v>
      </c>
      <c r="J980" s="76"/>
      <c r="K980" s="76"/>
      <c r="L980" s="218"/>
      <c r="M980" s="154"/>
      <c r="N980" s="926"/>
      <c r="O980" s="154"/>
      <c r="P980" s="140"/>
    </row>
    <row r="981" spans="1:16" s="182" customFormat="1" x14ac:dyDescent="0.2">
      <c r="A981" s="50"/>
      <c r="B981" s="49"/>
      <c r="C981" s="49"/>
      <c r="D981" s="49"/>
      <c r="E981" s="579"/>
      <c r="F981" s="311"/>
      <c r="G981" s="47"/>
      <c r="H981" s="312"/>
      <c r="I981" s="26"/>
      <c r="J981" s="250"/>
      <c r="K981" s="250"/>
      <c r="L981" s="251"/>
      <c r="M981" s="154"/>
      <c r="N981" s="926"/>
      <c r="O981" s="154"/>
      <c r="P981" s="140"/>
    </row>
    <row r="982" spans="1:16" s="182" customFormat="1" ht="22.5" x14ac:dyDescent="0.2">
      <c r="A982" s="50"/>
      <c r="B982" s="49"/>
      <c r="C982" s="49"/>
      <c r="D982" s="49"/>
      <c r="E982" s="579"/>
      <c r="F982" s="311">
        <v>183</v>
      </c>
      <c r="G982" s="47"/>
      <c r="H982" s="312" t="s">
        <v>46</v>
      </c>
      <c r="I982" s="273" t="s">
        <v>423</v>
      </c>
      <c r="J982" s="59">
        <v>8707750</v>
      </c>
      <c r="K982" s="59"/>
      <c r="L982" s="59">
        <f>SUM(J982+K982)</f>
        <v>8707750</v>
      </c>
      <c r="M982" s="154"/>
      <c r="N982" s="926"/>
      <c r="O982" s="154"/>
      <c r="P982" s="140"/>
    </row>
    <row r="983" spans="1:16" s="182" customFormat="1" x14ac:dyDescent="0.2">
      <c r="A983" s="519"/>
      <c r="B983" s="49"/>
      <c r="C983" s="49"/>
      <c r="D983" s="519"/>
      <c r="E983" s="579"/>
      <c r="F983" s="311"/>
      <c r="G983" s="47"/>
      <c r="H983" s="312"/>
      <c r="I983" s="229" t="s">
        <v>613</v>
      </c>
      <c r="J983" s="60">
        <f>SUM(J982:J982)</f>
        <v>8707750</v>
      </c>
      <c r="K983" s="60"/>
      <c r="L983" s="60">
        <f>SUM(L982:L982)</f>
        <v>8707750</v>
      </c>
      <c r="M983" s="154"/>
      <c r="N983" s="926"/>
      <c r="O983" s="154"/>
      <c r="P983" s="140"/>
    </row>
    <row r="984" spans="1:16" x14ac:dyDescent="0.2">
      <c r="A984" s="519"/>
      <c r="B984" s="49"/>
      <c r="D984" s="519"/>
      <c r="E984" s="579"/>
      <c r="F984" s="311"/>
      <c r="G984" s="55" t="s">
        <v>37</v>
      </c>
      <c r="H984" s="312"/>
      <c r="I984" s="220" t="s">
        <v>38</v>
      </c>
      <c r="J984" s="377">
        <f>SUM(J983)</f>
        <v>8707750</v>
      </c>
      <c r="K984" s="59"/>
      <c r="L984" s="59">
        <f>SUM(J984:J984)</f>
        <v>8707750</v>
      </c>
    </row>
    <row r="985" spans="1:16" x14ac:dyDescent="0.2">
      <c r="A985" s="519"/>
      <c r="B985" s="49"/>
      <c r="D985" s="519"/>
      <c r="E985" s="579"/>
      <c r="F985" s="311"/>
      <c r="G985" s="55"/>
      <c r="H985" s="312"/>
      <c r="I985" s="217"/>
      <c r="J985" s="1004"/>
      <c r="K985" s="31"/>
      <c r="L985" s="77"/>
    </row>
    <row r="986" spans="1:16" ht="22.5" x14ac:dyDescent="0.25">
      <c r="A986" s="519"/>
      <c r="B986" s="49"/>
      <c r="D986" s="519"/>
      <c r="E986" s="581" t="s">
        <v>257</v>
      </c>
      <c r="F986" s="970"/>
      <c r="G986" s="971"/>
      <c r="H986" s="1005"/>
      <c r="I986" s="877" t="s">
        <v>1032</v>
      </c>
      <c r="J986" s="989"/>
      <c r="K986" s="989"/>
      <c r="L986" s="990"/>
    </row>
    <row r="987" spans="1:16" x14ac:dyDescent="0.2">
      <c r="A987" s="519"/>
      <c r="B987" s="49"/>
      <c r="D987" s="519"/>
      <c r="E987" s="834"/>
      <c r="F987" s="311" t="s">
        <v>1031</v>
      </c>
      <c r="G987" s="47"/>
      <c r="H987" s="468">
        <v>424</v>
      </c>
      <c r="I987" s="220" t="s">
        <v>10</v>
      </c>
      <c r="J987" s="221">
        <v>1891283.8</v>
      </c>
      <c r="K987" s="59"/>
      <c r="L987" s="59">
        <f>SUM(J987+K987)</f>
        <v>1891283.8</v>
      </c>
    </row>
    <row r="988" spans="1:16" x14ac:dyDescent="0.2">
      <c r="A988" s="519"/>
      <c r="B988" s="49"/>
      <c r="D988" s="519"/>
      <c r="E988" s="834"/>
      <c r="F988" s="835"/>
      <c r="G988" s="47"/>
      <c r="H988" s="312"/>
      <c r="I988" s="235" t="s">
        <v>710</v>
      </c>
      <c r="J988" s="60">
        <f>SUM(J987)</f>
        <v>1891283.8</v>
      </c>
      <c r="K988" s="60"/>
      <c r="L988" s="60">
        <f>SUM(L987)</f>
        <v>1891283.8</v>
      </c>
    </row>
    <row r="989" spans="1:16" x14ac:dyDescent="0.2">
      <c r="A989" s="519"/>
      <c r="B989" s="49"/>
      <c r="D989" s="519"/>
      <c r="E989" s="834"/>
      <c r="F989" s="835"/>
      <c r="G989" s="55" t="s">
        <v>37</v>
      </c>
      <c r="H989" s="312"/>
      <c r="I989" s="220" t="s">
        <v>38</v>
      </c>
      <c r="J989" s="59">
        <f>SUM(J988-J990)</f>
        <v>945641.9</v>
      </c>
      <c r="K989" s="59"/>
      <c r="L989" s="59">
        <f>SUM(J989+K989)</f>
        <v>945641.9</v>
      </c>
    </row>
    <row r="990" spans="1:16" x14ac:dyDescent="0.2">
      <c r="A990" s="519"/>
      <c r="B990" s="49"/>
      <c r="D990" s="519"/>
      <c r="E990" s="834"/>
      <c r="F990" s="835"/>
      <c r="G990" s="55" t="s">
        <v>113</v>
      </c>
      <c r="H990" s="312"/>
      <c r="I990" s="220" t="s">
        <v>280</v>
      </c>
      <c r="J990" s="59">
        <v>945641.9</v>
      </c>
      <c r="K990" s="59"/>
      <c r="L990" s="59">
        <f>SUM(J990+K990)</f>
        <v>945641.9</v>
      </c>
    </row>
    <row r="991" spans="1:16" x14ac:dyDescent="0.2">
      <c r="A991" s="519"/>
      <c r="B991" s="49"/>
      <c r="D991" s="519"/>
      <c r="E991" s="579"/>
      <c r="F991" s="311"/>
      <c r="G991" s="55"/>
      <c r="H991" s="312"/>
      <c r="I991" s="217"/>
      <c r="J991" s="1004"/>
      <c r="K991" s="31"/>
      <c r="L991" s="77"/>
    </row>
    <row r="992" spans="1:16" ht="33.75" x14ac:dyDescent="0.25">
      <c r="A992" s="519"/>
      <c r="B992" s="49"/>
      <c r="C992" s="49">
        <v>560</v>
      </c>
      <c r="D992" s="519"/>
      <c r="E992" s="581" t="s">
        <v>257</v>
      </c>
      <c r="F992" s="391"/>
      <c r="G992" s="334"/>
      <c r="H992" s="485"/>
      <c r="I992" s="877" t="s">
        <v>871</v>
      </c>
      <c r="J992" s="80"/>
      <c r="K992" s="80"/>
      <c r="L992" s="260"/>
    </row>
    <row r="993" spans="1:16" x14ac:dyDescent="0.2">
      <c r="A993" s="519"/>
      <c r="B993" s="49"/>
      <c r="D993" s="519"/>
      <c r="E993" s="579"/>
      <c r="F993" s="311">
        <v>184</v>
      </c>
      <c r="G993" s="47"/>
      <c r="H993" s="473">
        <v>511</v>
      </c>
      <c r="I993" s="220" t="s">
        <v>584</v>
      </c>
      <c r="J993" s="231">
        <v>5760000</v>
      </c>
      <c r="K993" s="54"/>
      <c r="L993" s="54">
        <f>SUM(J993+K993)</f>
        <v>5760000</v>
      </c>
    </row>
    <row r="994" spans="1:16" x14ac:dyDescent="0.2">
      <c r="A994" s="519"/>
      <c r="B994" s="49"/>
      <c r="D994" s="519"/>
      <c r="E994" s="579"/>
      <c r="F994" s="311"/>
      <c r="G994" s="47"/>
      <c r="H994" s="312"/>
      <c r="I994" s="235" t="s">
        <v>710</v>
      </c>
      <c r="J994" s="60">
        <f>SUM(J993)</f>
        <v>5760000</v>
      </c>
      <c r="K994" s="60"/>
      <c r="L994" s="60">
        <f>SUM(L993)</f>
        <v>5760000</v>
      </c>
    </row>
    <row r="995" spans="1:16" x14ac:dyDescent="0.2">
      <c r="A995" s="519"/>
      <c r="B995" s="49"/>
      <c r="D995" s="519"/>
      <c r="E995" s="579"/>
      <c r="F995" s="311"/>
      <c r="G995" s="55" t="s">
        <v>37</v>
      </c>
      <c r="H995" s="312"/>
      <c r="I995" s="220" t="s">
        <v>38</v>
      </c>
      <c r="J995" s="54">
        <f>SUM(J994-J996)</f>
        <v>2460000</v>
      </c>
      <c r="K995" s="54"/>
      <c r="L995" s="54">
        <f>SUM(J995+K995)</f>
        <v>2460000</v>
      </c>
    </row>
    <row r="996" spans="1:16" x14ac:dyDescent="0.2">
      <c r="A996" s="519"/>
      <c r="B996" s="49"/>
      <c r="D996" s="519"/>
      <c r="E996" s="579"/>
      <c r="F996" s="311"/>
      <c r="G996" s="55" t="s">
        <v>113</v>
      </c>
      <c r="H996" s="312"/>
      <c r="I996" s="220" t="s">
        <v>280</v>
      </c>
      <c r="J996" s="54">
        <v>3300000</v>
      </c>
      <c r="K996" s="54"/>
      <c r="L996" s="54">
        <f>SUM(J996+K996)</f>
        <v>3300000</v>
      </c>
    </row>
    <row r="997" spans="1:16" ht="15" x14ac:dyDescent="0.25">
      <c r="A997" s="519"/>
      <c r="B997" s="49"/>
      <c r="D997" s="519"/>
      <c r="E997" s="579"/>
      <c r="F997" s="311"/>
      <c r="G997" s="55"/>
      <c r="H997" s="317"/>
      <c r="I997" s="217"/>
      <c r="J997" s="250"/>
      <c r="K997" s="250"/>
      <c r="L997" s="251"/>
    </row>
    <row r="998" spans="1:16" ht="22.5" x14ac:dyDescent="0.25">
      <c r="A998" s="519"/>
      <c r="B998" s="49"/>
      <c r="C998" s="49">
        <v>620</v>
      </c>
      <c r="D998" s="519"/>
      <c r="E998" s="581" t="s">
        <v>257</v>
      </c>
      <c r="F998" s="391"/>
      <c r="G998" s="334"/>
      <c r="H998" s="485"/>
      <c r="I998" s="395" t="s">
        <v>870</v>
      </c>
      <c r="J998" s="80"/>
      <c r="K998" s="80"/>
      <c r="L998" s="260"/>
    </row>
    <row r="999" spans="1:16" s="190" customFormat="1" x14ac:dyDescent="0.2">
      <c r="A999" s="645"/>
      <c r="B999" s="646"/>
      <c r="C999" s="646"/>
      <c r="D999" s="645"/>
      <c r="E999" s="626"/>
      <c r="F999" s="882" t="s">
        <v>990</v>
      </c>
      <c r="G999" s="883"/>
      <c r="H999" s="895">
        <v>424</v>
      </c>
      <c r="I999" s="896" t="s">
        <v>10</v>
      </c>
      <c r="J999" s="889">
        <v>400000</v>
      </c>
      <c r="K999" s="889"/>
      <c r="L999" s="889">
        <f>SUM(J999:K999)</f>
        <v>400000</v>
      </c>
      <c r="M999" s="897"/>
      <c r="N999" s="929"/>
      <c r="O999" s="188"/>
      <c r="P999" s="927"/>
    </row>
    <row r="1000" spans="1:16" x14ac:dyDescent="0.2">
      <c r="A1000" s="519"/>
      <c r="B1000" s="49"/>
      <c r="D1000" s="519"/>
      <c r="E1000" s="579"/>
      <c r="F1000" s="311">
        <v>185</v>
      </c>
      <c r="G1000" s="47"/>
      <c r="H1000" s="473">
        <v>511</v>
      </c>
      <c r="I1000" s="220" t="s">
        <v>584</v>
      </c>
      <c r="J1000" s="231">
        <v>600000</v>
      </c>
      <c r="K1000" s="54"/>
      <c r="L1000" s="54">
        <f>SUM(J1000+K1000)</f>
        <v>600000</v>
      </c>
    </row>
    <row r="1001" spans="1:16" x14ac:dyDescent="0.2">
      <c r="A1001" s="519"/>
      <c r="B1001" s="49"/>
      <c r="D1001" s="519"/>
      <c r="E1001" s="579"/>
      <c r="F1001" s="311"/>
      <c r="G1001" s="47"/>
      <c r="H1001" s="312"/>
      <c r="I1001" s="235" t="s">
        <v>710</v>
      </c>
      <c r="J1001" s="60">
        <f>SUM(J999:J1000)</f>
        <v>1000000</v>
      </c>
      <c r="K1001" s="60"/>
      <c r="L1001" s="60">
        <f>SUM(L999:L1000)</f>
        <v>1000000</v>
      </c>
    </row>
    <row r="1002" spans="1:16" x14ac:dyDescent="0.2">
      <c r="A1002" s="519"/>
      <c r="B1002" s="49"/>
      <c r="D1002" s="519"/>
      <c r="E1002" s="579"/>
      <c r="F1002" s="311"/>
      <c r="G1002" s="55" t="s">
        <v>37</v>
      </c>
      <c r="H1002" s="312"/>
      <c r="I1002" s="220" t="s">
        <v>38</v>
      </c>
      <c r="J1002" s="54">
        <f>SUM(J1001)</f>
        <v>1000000</v>
      </c>
      <c r="K1002" s="54"/>
      <c r="L1002" s="54">
        <f>SUM(J1002+K1002)</f>
        <v>1000000</v>
      </c>
      <c r="M1002" s="188"/>
    </row>
    <row r="1003" spans="1:16" x14ac:dyDescent="0.2">
      <c r="A1003" s="519"/>
      <c r="B1003" s="49"/>
      <c r="D1003" s="519"/>
      <c r="E1003" s="579"/>
      <c r="F1003" s="311"/>
      <c r="G1003" s="55"/>
      <c r="H1003" s="313"/>
      <c r="I1003" s="236"/>
      <c r="J1003" s="362"/>
      <c r="K1003" s="362"/>
      <c r="L1003" s="363"/>
    </row>
    <row r="1004" spans="1:16" s="190" customFormat="1" x14ac:dyDescent="0.2">
      <c r="A1004" s="519"/>
      <c r="B1004" s="49"/>
      <c r="C1004" s="49"/>
      <c r="D1004" s="519"/>
      <c r="E1004" s="579"/>
      <c r="F1004" s="311"/>
      <c r="G1004" s="55"/>
      <c r="H1004" s="312"/>
      <c r="I1004" s="217"/>
      <c r="J1004" s="250"/>
      <c r="K1004" s="250"/>
      <c r="L1004" s="251"/>
      <c r="M1004" s="31"/>
      <c r="N1004" s="929"/>
      <c r="O1004" s="188"/>
      <c r="P1004" s="927"/>
    </row>
    <row r="1005" spans="1:16" s="190" customFormat="1" ht="22.5" x14ac:dyDescent="0.2">
      <c r="A1005" s="50"/>
      <c r="B1005" s="49"/>
      <c r="C1005" s="49"/>
      <c r="D1005" s="519"/>
      <c r="E1005" s="581" t="s">
        <v>257</v>
      </c>
      <c r="F1005" s="391"/>
      <c r="G1005" s="334"/>
      <c r="H1005" s="393"/>
      <c r="I1005" s="401" t="s">
        <v>869</v>
      </c>
      <c r="J1005" s="261"/>
      <c r="K1005" s="326"/>
      <c r="L1005" s="57"/>
      <c r="M1005" s="17"/>
      <c r="N1005" s="929"/>
      <c r="O1005" s="188"/>
      <c r="P1005" s="927"/>
    </row>
    <row r="1006" spans="1:16" x14ac:dyDescent="0.2">
      <c r="B1006" s="49"/>
      <c r="D1006" s="519"/>
      <c r="E1006" s="579"/>
      <c r="F1006" s="311">
        <v>186</v>
      </c>
      <c r="G1006" s="47"/>
      <c r="H1006" s="312" t="s">
        <v>270</v>
      </c>
      <c r="I1006" s="220" t="s">
        <v>20</v>
      </c>
      <c r="J1006" s="64">
        <v>2000000</v>
      </c>
      <c r="K1006" s="60"/>
      <c r="L1006" s="59">
        <f>SUM(J1006:K1006)</f>
        <v>2000000</v>
      </c>
    </row>
    <row r="1007" spans="1:16" x14ac:dyDescent="0.2">
      <c r="B1007" s="49"/>
      <c r="D1007" s="519"/>
      <c r="E1007" s="579"/>
      <c r="F1007" s="311"/>
      <c r="G1007" s="55" t="s">
        <v>37</v>
      </c>
      <c r="H1007" s="312"/>
      <c r="I1007" s="220" t="s">
        <v>38</v>
      </c>
      <c r="J1007" s="64">
        <f>SUM(J1006)</f>
        <v>2000000</v>
      </c>
      <c r="K1007" s="60"/>
      <c r="L1007" s="59">
        <f>SUM(J1006:K1006)</f>
        <v>2000000</v>
      </c>
    </row>
    <row r="1008" spans="1:16" x14ac:dyDescent="0.2">
      <c r="B1008" s="49"/>
      <c r="D1008" s="519"/>
      <c r="E1008" s="579"/>
      <c r="F1008" s="311"/>
      <c r="G1008" s="47"/>
      <c r="H1008" s="313"/>
      <c r="I1008" s="229" t="s">
        <v>710</v>
      </c>
      <c r="J1008" s="56">
        <f>SUM(J1007)</f>
        <v>2000000</v>
      </c>
      <c r="K1008" s="60"/>
      <c r="L1008" s="60">
        <f>SUM(L1007)</f>
        <v>2000000</v>
      </c>
    </row>
    <row r="1009" spans="1:16" x14ac:dyDescent="0.2">
      <c r="B1009" s="49"/>
      <c r="D1009" s="519"/>
      <c r="E1009" s="579"/>
      <c r="F1009" s="311"/>
      <c r="G1009" s="47"/>
      <c r="H1009" s="313"/>
      <c r="I1009" s="18"/>
      <c r="J1009" s="224"/>
      <c r="K1009" s="30"/>
      <c r="L1009" s="61"/>
    </row>
    <row r="1010" spans="1:16" ht="22.5" x14ac:dyDescent="0.2">
      <c r="B1010" s="49"/>
      <c r="D1010" s="519"/>
      <c r="E1010" s="581" t="s">
        <v>257</v>
      </c>
      <c r="F1010" s="391"/>
      <c r="G1010" s="334"/>
      <c r="H1010" s="393"/>
      <c r="I1010" s="401" t="s">
        <v>868</v>
      </c>
      <c r="J1010" s="261"/>
      <c r="K1010" s="326"/>
      <c r="L1010" s="57"/>
    </row>
    <row r="1011" spans="1:16" s="190" customFormat="1" x14ac:dyDescent="0.2">
      <c r="A1011" s="711"/>
      <c r="B1011" s="646"/>
      <c r="C1011" s="646"/>
      <c r="D1011" s="645"/>
      <c r="E1011" s="626"/>
      <c r="F1011" s="882" t="s">
        <v>989</v>
      </c>
      <c r="G1011" s="883"/>
      <c r="H1011" s="895">
        <v>424</v>
      </c>
      <c r="I1011" s="896" t="s">
        <v>10</v>
      </c>
      <c r="J1011" s="889">
        <v>400000</v>
      </c>
      <c r="K1011" s="889"/>
      <c r="L1011" s="889">
        <f>SUM(J1011:K1011)</f>
        <v>400000</v>
      </c>
      <c r="M1011" s="907"/>
      <c r="N1011" s="929"/>
      <c r="O1011" s="188"/>
      <c r="P1011" s="927"/>
    </row>
    <row r="1012" spans="1:16" x14ac:dyDescent="0.2">
      <c r="B1012" s="49"/>
      <c r="D1012" s="519"/>
      <c r="E1012" s="579"/>
      <c r="F1012" s="311">
        <v>187</v>
      </c>
      <c r="G1012" s="47"/>
      <c r="H1012" s="312" t="s">
        <v>270</v>
      </c>
      <c r="I1012" s="220" t="s">
        <v>20</v>
      </c>
      <c r="J1012" s="64">
        <v>22329840</v>
      </c>
      <c r="K1012" s="60"/>
      <c r="L1012" s="59">
        <f>SUM(J1012:K1012)</f>
        <v>22329840</v>
      </c>
    </row>
    <row r="1013" spans="1:16" x14ac:dyDescent="0.2">
      <c r="B1013" s="49"/>
      <c r="D1013" s="519"/>
      <c r="E1013" s="579"/>
      <c r="F1013" s="311"/>
      <c r="G1013" s="55" t="s">
        <v>37</v>
      </c>
      <c r="H1013" s="312"/>
      <c r="I1013" s="220" t="s">
        <v>38</v>
      </c>
      <c r="J1013" s="64">
        <f>SUM(J1015-J1014)</f>
        <v>11780920</v>
      </c>
      <c r="K1013" s="60"/>
      <c r="L1013" s="59">
        <f t="shared" ref="L1013:L1015" si="55">SUM(J1013:K1013)</f>
        <v>11780920</v>
      </c>
    </row>
    <row r="1014" spans="1:16" x14ac:dyDescent="0.2">
      <c r="B1014" s="49"/>
      <c r="D1014" s="519"/>
      <c r="E1014" s="579"/>
      <c r="F1014" s="311"/>
      <c r="G1014" s="55" t="s">
        <v>113</v>
      </c>
      <c r="H1014" s="312"/>
      <c r="I1014" s="220" t="s">
        <v>280</v>
      </c>
      <c r="J1014" s="64">
        <v>10948920</v>
      </c>
      <c r="K1014" s="60"/>
      <c r="L1014" s="59">
        <f t="shared" si="55"/>
        <v>10948920</v>
      </c>
      <c r="M1014" s="194"/>
    </row>
    <row r="1015" spans="1:16" x14ac:dyDescent="0.2">
      <c r="B1015" s="49"/>
      <c r="D1015" s="519"/>
      <c r="E1015" s="579"/>
      <c r="F1015" s="311"/>
      <c r="G1015" s="47"/>
      <c r="H1015" s="313"/>
      <c r="I1015" s="229" t="s">
        <v>710</v>
      </c>
      <c r="J1015" s="56">
        <f>SUM(J1011:J1012)</f>
        <v>22729840</v>
      </c>
      <c r="K1015" s="60"/>
      <c r="L1015" s="60">
        <f t="shared" si="55"/>
        <v>22729840</v>
      </c>
    </row>
    <row r="1016" spans="1:16" x14ac:dyDescent="0.2">
      <c r="B1016" s="49"/>
      <c r="D1016" s="519"/>
      <c r="E1016" s="579"/>
      <c r="F1016" s="311"/>
      <c r="G1016" s="47"/>
      <c r="H1016" s="312"/>
      <c r="I1016" s="26"/>
      <c r="J1016" s="224"/>
      <c r="K1016" s="30"/>
      <c r="L1016" s="61"/>
    </row>
    <row r="1017" spans="1:16" s="196" customFormat="1" ht="22.5" x14ac:dyDescent="0.25">
      <c r="A1017" s="50"/>
      <c r="B1017" s="49"/>
      <c r="C1017" s="49"/>
      <c r="D1017" s="519"/>
      <c r="E1017" s="581" t="s">
        <v>257</v>
      </c>
      <c r="F1017" s="391"/>
      <c r="G1017" s="334"/>
      <c r="H1017" s="393"/>
      <c r="I1017" s="401" t="s">
        <v>867</v>
      </c>
      <c r="J1017" s="261"/>
      <c r="K1017" s="326"/>
      <c r="L1017" s="57"/>
      <c r="M1017" s="17"/>
      <c r="N1017" s="716"/>
      <c r="O1017" s="194"/>
      <c r="P1017" s="914"/>
    </row>
    <row r="1018" spans="1:16" s="196" customFormat="1" ht="15" x14ac:dyDescent="0.25">
      <c r="A1018" s="50"/>
      <c r="B1018" s="49"/>
      <c r="C1018" s="49"/>
      <c r="D1018" s="519"/>
      <c r="E1018" s="579"/>
      <c r="F1018" s="311">
        <v>188</v>
      </c>
      <c r="G1018" s="47"/>
      <c r="H1018" s="312" t="s">
        <v>270</v>
      </c>
      <c r="I1018" s="220" t="s">
        <v>20</v>
      </c>
      <c r="J1018" s="64">
        <v>500000</v>
      </c>
      <c r="K1018" s="60"/>
      <c r="L1018" s="59">
        <f>SUM(J1018:K1018)</f>
        <v>500000</v>
      </c>
      <c r="M1018" s="17"/>
      <c r="N1018" s="716"/>
      <c r="O1018" s="194"/>
      <c r="P1018" s="914"/>
    </row>
    <row r="1019" spans="1:16" x14ac:dyDescent="0.2">
      <c r="B1019" s="49"/>
      <c r="D1019" s="519"/>
      <c r="E1019" s="579"/>
      <c r="F1019" s="311"/>
      <c r="G1019" s="55" t="s">
        <v>37</v>
      </c>
      <c r="H1019" s="312"/>
      <c r="I1019" s="220" t="s">
        <v>38</v>
      </c>
      <c r="J1019" s="64">
        <f>SUM(J1018)</f>
        <v>500000</v>
      </c>
      <c r="K1019" s="60"/>
      <c r="L1019" s="59">
        <f>SUM(J1018:K1018)</f>
        <v>500000</v>
      </c>
    </row>
    <row r="1020" spans="1:16" x14ac:dyDescent="0.2">
      <c r="B1020" s="49"/>
      <c r="D1020" s="519"/>
      <c r="E1020" s="579"/>
      <c r="F1020" s="311"/>
      <c r="G1020" s="47"/>
      <c r="H1020" s="313"/>
      <c r="I1020" s="229" t="s">
        <v>710</v>
      </c>
      <c r="J1020" s="56">
        <f>SUM(J1019)</f>
        <v>500000</v>
      </c>
      <c r="K1020" s="60"/>
      <c r="L1020" s="60">
        <f>SUM(L1019)</f>
        <v>500000</v>
      </c>
    </row>
    <row r="1021" spans="1:16" x14ac:dyDescent="0.2">
      <c r="B1021" s="49"/>
      <c r="D1021" s="519"/>
      <c r="E1021" s="579"/>
      <c r="F1021" s="311"/>
      <c r="G1021" s="47"/>
      <c r="H1021" s="312"/>
      <c r="I1021" s="26"/>
      <c r="J1021" s="224"/>
      <c r="K1021" s="30"/>
      <c r="L1021" s="61"/>
    </row>
    <row r="1022" spans="1:16" ht="22.5" x14ac:dyDescent="0.2">
      <c r="B1022" s="49"/>
      <c r="D1022" s="519"/>
      <c r="E1022" s="581" t="s">
        <v>257</v>
      </c>
      <c r="F1022" s="391"/>
      <c r="G1022" s="334"/>
      <c r="H1022" s="467"/>
      <c r="I1022" s="401" t="s">
        <v>866</v>
      </c>
      <c r="J1022" s="261"/>
      <c r="K1022" s="326"/>
      <c r="L1022" s="57"/>
    </row>
    <row r="1023" spans="1:16" x14ac:dyDescent="0.2">
      <c r="B1023" s="49"/>
      <c r="D1023" s="519"/>
      <c r="E1023" s="579"/>
      <c r="F1023" s="311">
        <v>189</v>
      </c>
      <c r="G1023" s="47"/>
      <c r="H1023" s="312" t="s">
        <v>270</v>
      </c>
      <c r="I1023" s="220" t="s">
        <v>20</v>
      </c>
      <c r="J1023" s="64">
        <v>600000</v>
      </c>
      <c r="K1023" s="60"/>
      <c r="L1023" s="59">
        <f>SUM(J1023:K1023)</f>
        <v>600000</v>
      </c>
    </row>
    <row r="1024" spans="1:16" x14ac:dyDescent="0.2">
      <c r="B1024" s="49"/>
      <c r="D1024" s="519"/>
      <c r="E1024" s="579"/>
      <c r="F1024" s="311"/>
      <c r="G1024" s="55" t="s">
        <v>37</v>
      </c>
      <c r="H1024" s="312"/>
      <c r="I1024" s="220" t="s">
        <v>38</v>
      </c>
      <c r="J1024" s="64">
        <f>SUM(J1023)</f>
        <v>600000</v>
      </c>
      <c r="K1024" s="60"/>
      <c r="L1024" s="59">
        <f>SUM(J1023:K1023)</f>
        <v>600000</v>
      </c>
    </row>
    <row r="1025" spans="1:13" x14ac:dyDescent="0.2">
      <c r="B1025" s="49"/>
      <c r="D1025" s="519"/>
      <c r="E1025" s="579"/>
      <c r="F1025" s="311"/>
      <c r="G1025" s="47"/>
      <c r="H1025" s="313"/>
      <c r="I1025" s="229" t="s">
        <v>752</v>
      </c>
      <c r="J1025" s="56">
        <f>SUM(J1024)</f>
        <v>600000</v>
      </c>
      <c r="K1025" s="60"/>
      <c r="L1025" s="60">
        <f>SUM(L1024)</f>
        <v>600000</v>
      </c>
    </row>
    <row r="1026" spans="1:13" x14ac:dyDescent="0.2">
      <c r="B1026" s="49"/>
      <c r="D1026" s="519"/>
      <c r="E1026" s="579"/>
      <c r="F1026" s="311"/>
      <c r="G1026" s="47"/>
      <c r="H1026" s="312"/>
      <c r="I1026" s="197"/>
      <c r="J1026" s="224"/>
      <c r="K1026" s="30"/>
      <c r="L1026" s="61"/>
    </row>
    <row r="1027" spans="1:13" ht="22.5" x14ac:dyDescent="0.2">
      <c r="B1027" s="49"/>
      <c r="D1027" s="519"/>
      <c r="E1027" s="581" t="s">
        <v>257</v>
      </c>
      <c r="F1027" s="391"/>
      <c r="G1027" s="334"/>
      <c r="H1027" s="393"/>
      <c r="I1027" s="401" t="s">
        <v>865</v>
      </c>
      <c r="J1027" s="261"/>
      <c r="K1027" s="326"/>
      <c r="L1027" s="57"/>
    </row>
    <row r="1028" spans="1:13" x14ac:dyDescent="0.2">
      <c r="B1028" s="49"/>
      <c r="D1028" s="519"/>
      <c r="E1028" s="579"/>
      <c r="F1028" s="311">
        <v>190</v>
      </c>
      <c r="G1028" s="47"/>
      <c r="H1028" s="312" t="s">
        <v>270</v>
      </c>
      <c r="I1028" s="220" t="s">
        <v>20</v>
      </c>
      <c r="J1028" s="64">
        <v>600000</v>
      </c>
      <c r="K1028" s="59"/>
      <c r="L1028" s="59">
        <f>SUM(J1028:K1028)</f>
        <v>600000</v>
      </c>
    </row>
    <row r="1029" spans="1:13" x14ac:dyDescent="0.2">
      <c r="B1029" s="49"/>
      <c r="D1029" s="519"/>
      <c r="E1029" s="579"/>
      <c r="F1029" s="311"/>
      <c r="G1029" s="55" t="s">
        <v>37</v>
      </c>
      <c r="H1029" s="312"/>
      <c r="I1029" s="220" t="s">
        <v>38</v>
      </c>
      <c r="J1029" s="64">
        <f>SUM(J1028)</f>
        <v>600000</v>
      </c>
      <c r="K1029" s="59"/>
      <c r="L1029" s="59">
        <f>SUM(J1028:K1028)</f>
        <v>600000</v>
      </c>
    </row>
    <row r="1030" spans="1:13" x14ac:dyDescent="0.2">
      <c r="B1030" s="49"/>
      <c r="D1030" s="519"/>
      <c r="E1030" s="579"/>
      <c r="F1030" s="311"/>
      <c r="G1030" s="47"/>
      <c r="H1030" s="313"/>
      <c r="I1030" s="229" t="s">
        <v>752</v>
      </c>
      <c r="J1030" s="56">
        <f>SUM(J1029)</f>
        <v>600000</v>
      </c>
      <c r="K1030" s="60"/>
      <c r="L1030" s="60">
        <f>SUM(L1029)</f>
        <v>600000</v>
      </c>
      <c r="M1030" s="27"/>
    </row>
    <row r="1031" spans="1:13" x14ac:dyDescent="0.2">
      <c r="B1031" s="49"/>
      <c r="D1031" s="519"/>
      <c r="E1031" s="579"/>
      <c r="F1031" s="311"/>
      <c r="G1031" s="47"/>
      <c r="H1031" s="312"/>
      <c r="I1031" s="114"/>
      <c r="J1031" s="261"/>
      <c r="K1031" s="326"/>
      <c r="L1031" s="57"/>
      <c r="M1031" s="27"/>
    </row>
    <row r="1032" spans="1:13" ht="22.5" x14ac:dyDescent="0.2">
      <c r="B1032" s="49"/>
      <c r="D1032" s="519"/>
      <c r="E1032" s="581" t="s">
        <v>257</v>
      </c>
      <c r="F1032" s="391"/>
      <c r="G1032" s="334"/>
      <c r="H1032" s="393"/>
      <c r="I1032" s="401" t="s">
        <v>864</v>
      </c>
      <c r="J1032" s="326"/>
      <c r="K1032" s="326"/>
      <c r="L1032" s="57"/>
    </row>
    <row r="1033" spans="1:13" x14ac:dyDescent="0.2">
      <c r="B1033" s="49"/>
      <c r="D1033" s="519"/>
      <c r="E1033" s="579"/>
      <c r="F1033" s="311">
        <v>191</v>
      </c>
      <c r="G1033" s="47"/>
      <c r="H1033" s="468">
        <v>424</v>
      </c>
      <c r="I1033" s="289" t="s">
        <v>10</v>
      </c>
      <c r="J1033" s="59">
        <v>3000000</v>
      </c>
      <c r="K1033" s="59"/>
      <c r="L1033" s="59">
        <f>SUM(J1033:K1033)</f>
        <v>3000000</v>
      </c>
    </row>
    <row r="1034" spans="1:13" x14ac:dyDescent="0.2">
      <c r="B1034" s="49"/>
      <c r="D1034" s="519"/>
      <c r="E1034" s="579"/>
      <c r="F1034" s="311"/>
      <c r="G1034" s="55" t="s">
        <v>37</v>
      </c>
      <c r="H1034" s="470"/>
      <c r="I1034" s="220" t="s">
        <v>38</v>
      </c>
      <c r="J1034" s="59">
        <f>SUM(J1033)</f>
        <v>3000000</v>
      </c>
      <c r="K1034" s="59"/>
      <c r="L1034" s="59">
        <f>SUM(J1033:K1033)</f>
        <v>3000000</v>
      </c>
    </row>
    <row r="1035" spans="1:13" x14ac:dyDescent="0.2">
      <c r="A1035" s="519"/>
      <c r="B1035" s="49"/>
      <c r="D1035" s="519"/>
      <c r="E1035" s="579"/>
      <c r="F1035" s="311"/>
      <c r="G1035" s="47"/>
      <c r="H1035" s="312"/>
      <c r="I1035" s="229" t="s">
        <v>710</v>
      </c>
      <c r="J1035" s="60">
        <f>SUM(J1033)</f>
        <v>3000000</v>
      </c>
      <c r="K1035" s="60"/>
      <c r="L1035" s="60">
        <f>SUM(L1033)</f>
        <v>3000000</v>
      </c>
    </row>
    <row r="1036" spans="1:13" x14ac:dyDescent="0.2">
      <c r="B1036" s="49"/>
      <c r="D1036" s="519"/>
      <c r="E1036" s="579"/>
      <c r="F1036" s="311"/>
      <c r="G1036" s="47"/>
      <c r="H1036" s="312"/>
      <c r="I1036" s="26"/>
      <c r="J1036" s="224"/>
      <c r="K1036" s="30"/>
      <c r="L1036" s="61"/>
      <c r="M1036" s="27"/>
    </row>
    <row r="1037" spans="1:13" ht="22.5" x14ac:dyDescent="0.2">
      <c r="A1037" s="689"/>
      <c r="B1037" s="690"/>
      <c r="C1037" s="690"/>
      <c r="D1037" s="658" t="s">
        <v>251</v>
      </c>
      <c r="E1037" s="617"/>
      <c r="F1037" s="701"/>
      <c r="G1037" s="691"/>
      <c r="H1037" s="692"/>
      <c r="I1037" s="727" t="s">
        <v>452</v>
      </c>
      <c r="J1037" s="662">
        <f>SUM(J1053+J1059+J1066+J1078+J1086+J1092+J1097+J1102+J1107+J1112+J1118+J1123+J1047+J1326+J1128+J1133+J1138+J1143+J1150+J1155+J1161+J1167+J1172+J1178+J1184+J1189+J1195+J1200+J1205+J1210+J1215+J1220+J1225+J1041+J1230+J1235+J1240+J1245+J1252+J1257+J1262+J1267+J1272+J1278+J1283+J1288+J1295+J1301+J1307+J1314+J1320+J1332+J1337+J1342+J1348+J1355+J1360+J1367+J1373+J1378+J1383+J1388+J1395+J1402+J1407+J1413+J1418+J1424+J1430+J1436+J1442+J1448+J1454+J1460+J1465+J1470+J1475+J1480+J1488+J1497+J1508+J1519)</f>
        <v>1750015236.01</v>
      </c>
      <c r="K1037" s="662"/>
      <c r="L1037" s="662">
        <f>SUM(J1037:K1037)</f>
        <v>1750015236.01</v>
      </c>
    </row>
    <row r="1038" spans="1:13" x14ac:dyDescent="0.2">
      <c r="A1038" s="519"/>
      <c r="B1038" s="49"/>
      <c r="C1038" s="503"/>
      <c r="D1038" s="49"/>
      <c r="E1038" s="579"/>
      <c r="F1038" s="311"/>
      <c r="G1038" s="230"/>
      <c r="H1038" s="312"/>
      <c r="I1038" s="249"/>
      <c r="J1038" s="192"/>
      <c r="K1038" s="192"/>
      <c r="L1038" s="327"/>
    </row>
    <row r="1039" spans="1:13" ht="15" x14ac:dyDescent="0.25">
      <c r="A1039" s="519"/>
      <c r="B1039" s="49"/>
      <c r="C1039" s="438"/>
      <c r="D1039" s="49"/>
      <c r="E1039" s="581" t="s">
        <v>251</v>
      </c>
      <c r="F1039" s="391"/>
      <c r="G1039" s="334"/>
      <c r="H1039" s="485"/>
      <c r="I1039" s="394" t="s">
        <v>957</v>
      </c>
      <c r="J1039" s="80"/>
      <c r="K1039" s="80"/>
      <c r="L1039" s="260"/>
    </row>
    <row r="1040" spans="1:13" ht="15" x14ac:dyDescent="0.2">
      <c r="A1040" s="519"/>
      <c r="B1040" s="49"/>
      <c r="C1040" s="438"/>
      <c r="D1040" s="49"/>
      <c r="E1040" s="579"/>
      <c r="F1040" s="311" t="s">
        <v>988</v>
      </c>
      <c r="G1040" s="47"/>
      <c r="H1040" s="312" t="s">
        <v>570</v>
      </c>
      <c r="I1040" s="220" t="s">
        <v>21</v>
      </c>
      <c r="J1040" s="231">
        <v>6000000</v>
      </c>
      <c r="K1040" s="54"/>
      <c r="L1040" s="54">
        <f>SUM(J1040+K1040)</f>
        <v>6000000</v>
      </c>
    </row>
    <row r="1041" spans="1:12" ht="15" x14ac:dyDescent="0.2">
      <c r="A1041" s="519"/>
      <c r="B1041" s="49"/>
      <c r="C1041" s="438"/>
      <c r="D1041" s="49"/>
      <c r="E1041" s="579"/>
      <c r="F1041" s="311"/>
      <c r="G1041" s="47"/>
      <c r="H1041" s="312"/>
      <c r="I1041" s="235" t="s">
        <v>710</v>
      </c>
      <c r="J1041" s="60">
        <f>SUM(J1040)</f>
        <v>6000000</v>
      </c>
      <c r="K1041" s="60"/>
      <c r="L1041" s="60">
        <f>SUM(L1040)</f>
        <v>6000000</v>
      </c>
    </row>
    <row r="1042" spans="1:12" ht="15" x14ac:dyDescent="0.2">
      <c r="A1042" s="519"/>
      <c r="B1042" s="49"/>
      <c r="C1042" s="438"/>
      <c r="D1042" s="49"/>
      <c r="E1042" s="579"/>
      <c r="F1042" s="311"/>
      <c r="G1042" s="55" t="s">
        <v>37</v>
      </c>
      <c r="H1042" s="312"/>
      <c r="I1042" s="220" t="s">
        <v>38</v>
      </c>
      <c r="J1042" s="54">
        <f>SUM(J1041)</f>
        <v>6000000</v>
      </c>
      <c r="K1042" s="54"/>
      <c r="L1042" s="54">
        <f>SUM(J1042+K1042)</f>
        <v>6000000</v>
      </c>
    </row>
    <row r="1043" spans="1:12" ht="15" x14ac:dyDescent="0.2">
      <c r="A1043" s="519"/>
      <c r="B1043" s="49"/>
      <c r="C1043" s="438"/>
      <c r="D1043" s="49"/>
      <c r="E1043" s="579"/>
      <c r="F1043" s="311"/>
      <c r="G1043" s="55"/>
      <c r="H1043" s="312"/>
      <c r="I1043" s="217"/>
      <c r="J1043" s="250"/>
      <c r="K1043" s="250"/>
      <c r="L1043" s="251"/>
    </row>
    <row r="1044" spans="1:12" ht="15" x14ac:dyDescent="0.2">
      <c r="A1044" s="519"/>
      <c r="B1044" s="49"/>
      <c r="C1044" s="438"/>
      <c r="D1044" s="49"/>
      <c r="E1044" s="579"/>
      <c r="F1044" s="311"/>
      <c r="G1044" s="55"/>
      <c r="H1044" s="312"/>
      <c r="I1044" s="217"/>
      <c r="J1044" s="250"/>
      <c r="K1044" s="250"/>
      <c r="L1044" s="251"/>
    </row>
    <row r="1045" spans="1:12" ht="15" x14ac:dyDescent="0.25">
      <c r="A1045" s="519"/>
      <c r="B1045" s="49"/>
      <c r="C1045" s="438"/>
      <c r="D1045" s="49"/>
      <c r="E1045" s="581" t="s">
        <v>251</v>
      </c>
      <c r="F1045" s="391"/>
      <c r="G1045" s="334"/>
      <c r="H1045" s="485"/>
      <c r="I1045" s="394" t="s">
        <v>1065</v>
      </c>
      <c r="J1045" s="80"/>
      <c r="K1045" s="80"/>
      <c r="L1045" s="260"/>
    </row>
    <row r="1046" spans="1:12" ht="15" x14ac:dyDescent="0.2">
      <c r="A1046" s="519"/>
      <c r="B1046" s="49"/>
      <c r="C1046" s="438"/>
      <c r="D1046" s="49"/>
      <c r="E1046" s="579"/>
      <c r="F1046" s="311" t="s">
        <v>1064</v>
      </c>
      <c r="G1046" s="47"/>
      <c r="H1046" s="312" t="s">
        <v>570</v>
      </c>
      <c r="I1046" s="220" t="s">
        <v>21</v>
      </c>
      <c r="J1046" s="231">
        <v>18000000</v>
      </c>
      <c r="K1046" s="54"/>
      <c r="L1046" s="54">
        <f>SUM(J1046+K1046)</f>
        <v>18000000</v>
      </c>
    </row>
    <row r="1047" spans="1:12" ht="15" x14ac:dyDescent="0.2">
      <c r="A1047" s="519"/>
      <c r="B1047" s="49"/>
      <c r="C1047" s="438"/>
      <c r="D1047" s="49"/>
      <c r="E1047" s="579"/>
      <c r="F1047" s="311"/>
      <c r="G1047" s="47"/>
      <c r="H1047" s="312"/>
      <c r="I1047" s="235" t="s">
        <v>710</v>
      </c>
      <c r="J1047" s="60">
        <f>SUM(J1046)</f>
        <v>18000000</v>
      </c>
      <c r="K1047" s="60"/>
      <c r="L1047" s="60">
        <f>SUM(L1046)</f>
        <v>18000000</v>
      </c>
    </row>
    <row r="1048" spans="1:12" ht="15" x14ac:dyDescent="0.2">
      <c r="A1048" s="519"/>
      <c r="B1048" s="49"/>
      <c r="C1048" s="438"/>
      <c r="D1048" s="49"/>
      <c r="E1048" s="579"/>
      <c r="F1048" s="311"/>
      <c r="G1048" s="55" t="s">
        <v>37</v>
      </c>
      <c r="H1048" s="312"/>
      <c r="I1048" s="220" t="s">
        <v>38</v>
      </c>
      <c r="J1048" s="54">
        <f>SUM(J1047-J1049)</f>
        <v>10500000</v>
      </c>
      <c r="K1048" s="54"/>
      <c r="L1048" s="54">
        <f>SUM(J1048+K1048)</f>
        <v>10500000</v>
      </c>
    </row>
    <row r="1049" spans="1:12" ht="15" x14ac:dyDescent="0.2">
      <c r="A1049" s="519"/>
      <c r="B1049" s="49"/>
      <c r="C1049" s="438"/>
      <c r="D1049" s="49"/>
      <c r="E1049" s="579"/>
      <c r="F1049" s="311"/>
      <c r="G1049" s="55" t="s">
        <v>113</v>
      </c>
      <c r="H1049" s="312"/>
      <c r="I1049" s="220" t="s">
        <v>280</v>
      </c>
      <c r="J1049" s="54">
        <v>7500000</v>
      </c>
      <c r="K1049" s="54"/>
      <c r="L1049" s="54">
        <f>SUM(J1049+K1049)</f>
        <v>7500000</v>
      </c>
    </row>
    <row r="1050" spans="1:12" ht="15" x14ac:dyDescent="0.2">
      <c r="A1050" s="519"/>
      <c r="B1050" s="49"/>
      <c r="C1050" s="438"/>
      <c r="D1050" s="49"/>
      <c r="E1050" s="579"/>
      <c r="F1050" s="311"/>
      <c r="G1050" s="55"/>
      <c r="H1050" s="312"/>
      <c r="I1050" s="217"/>
      <c r="J1050" s="250"/>
      <c r="K1050" s="250"/>
      <c r="L1050" s="251"/>
    </row>
    <row r="1051" spans="1:12" ht="15" x14ac:dyDescent="0.25">
      <c r="A1051" s="519"/>
      <c r="B1051" s="49"/>
      <c r="C1051" s="438"/>
      <c r="D1051" s="49"/>
      <c r="E1051" s="581" t="s">
        <v>251</v>
      </c>
      <c r="F1051" s="391"/>
      <c r="G1051" s="334"/>
      <c r="H1051" s="485"/>
      <c r="I1051" s="394" t="s">
        <v>862</v>
      </c>
      <c r="J1051" s="80"/>
      <c r="K1051" s="80"/>
      <c r="L1051" s="260"/>
    </row>
    <row r="1052" spans="1:12" ht="15" x14ac:dyDescent="0.2">
      <c r="A1052" s="519"/>
      <c r="B1052" s="49"/>
      <c r="C1052" s="438"/>
      <c r="D1052" s="49"/>
      <c r="E1052" s="579"/>
      <c r="F1052" s="311">
        <v>192</v>
      </c>
      <c r="G1052" s="47"/>
      <c r="H1052" s="312" t="s">
        <v>46</v>
      </c>
      <c r="I1052" s="220" t="s">
        <v>863</v>
      </c>
      <c r="J1052" s="231">
        <v>3500000</v>
      </c>
      <c r="K1052" s="54"/>
      <c r="L1052" s="54">
        <f>SUM(J1052+K1052)</f>
        <v>3500000</v>
      </c>
    </row>
    <row r="1053" spans="1:12" ht="15" x14ac:dyDescent="0.2">
      <c r="A1053" s="519"/>
      <c r="B1053" s="49"/>
      <c r="C1053" s="438"/>
      <c r="D1053" s="519"/>
      <c r="E1053" s="579"/>
      <c r="F1053" s="311"/>
      <c r="G1053" s="47"/>
      <c r="H1053" s="312"/>
      <c r="I1053" s="235" t="s">
        <v>710</v>
      </c>
      <c r="J1053" s="60">
        <f>SUM(J1052)</f>
        <v>3500000</v>
      </c>
      <c r="K1053" s="60"/>
      <c r="L1053" s="60">
        <f>SUM(L1052)</f>
        <v>3500000</v>
      </c>
    </row>
    <row r="1054" spans="1:12" ht="15" x14ac:dyDescent="0.2">
      <c r="A1054" s="519"/>
      <c r="B1054" s="49"/>
      <c r="C1054" s="438"/>
      <c r="D1054" s="519"/>
      <c r="E1054" s="579"/>
      <c r="F1054" s="311"/>
      <c r="G1054" s="55" t="s">
        <v>37</v>
      </c>
      <c r="H1054" s="312"/>
      <c r="I1054" s="220" t="s">
        <v>38</v>
      </c>
      <c r="J1054" s="54">
        <f>SUM(J1053-J1055)</f>
        <v>2015001.62</v>
      </c>
      <c r="K1054" s="54"/>
      <c r="L1054" s="54">
        <f>SUM(J1054+K1054)</f>
        <v>2015001.62</v>
      </c>
    </row>
    <row r="1055" spans="1:12" ht="15" x14ac:dyDescent="0.2">
      <c r="A1055" s="519"/>
      <c r="B1055" s="49"/>
      <c r="C1055" s="438"/>
      <c r="D1055" s="519"/>
      <c r="E1055" s="579"/>
      <c r="F1055" s="311"/>
      <c r="G1055" s="55" t="s">
        <v>113</v>
      </c>
      <c r="H1055" s="312"/>
      <c r="I1055" s="220" t="s">
        <v>280</v>
      </c>
      <c r="J1055" s="54">
        <v>1484998.38</v>
      </c>
      <c r="K1055" s="54"/>
      <c r="L1055" s="54">
        <f>SUM(J1055+K1055)</f>
        <v>1484998.38</v>
      </c>
    </row>
    <row r="1056" spans="1:12" ht="15" x14ac:dyDescent="0.2">
      <c r="A1056" s="519"/>
      <c r="B1056" s="49"/>
      <c r="C1056" s="438"/>
      <c r="D1056" s="49"/>
      <c r="E1056" s="579"/>
      <c r="F1056" s="311"/>
      <c r="G1056" s="47"/>
      <c r="H1056" s="313"/>
      <c r="I1056" s="26"/>
      <c r="J1056" s="192"/>
      <c r="K1056" s="192"/>
      <c r="L1056" s="327"/>
    </row>
    <row r="1057" spans="1:13" ht="15" x14ac:dyDescent="0.25">
      <c r="A1057" s="519"/>
      <c r="B1057" s="49"/>
      <c r="C1057" s="438"/>
      <c r="D1057" s="49"/>
      <c r="E1057" s="581" t="s">
        <v>251</v>
      </c>
      <c r="F1057" s="391"/>
      <c r="G1057" s="334"/>
      <c r="H1057" s="469"/>
      <c r="I1057" s="394" t="s">
        <v>861</v>
      </c>
      <c r="J1057" s="378"/>
      <c r="K1057" s="80"/>
      <c r="L1057" s="260"/>
    </row>
    <row r="1058" spans="1:13" ht="15" x14ac:dyDescent="0.2">
      <c r="A1058" s="519"/>
      <c r="B1058" s="49"/>
      <c r="C1058" s="438"/>
      <c r="D1058" s="49"/>
      <c r="E1058" s="579"/>
      <c r="F1058" s="311">
        <v>193</v>
      </c>
      <c r="G1058" s="47"/>
      <c r="H1058" s="312" t="s">
        <v>46</v>
      </c>
      <c r="I1058" s="220" t="s">
        <v>469</v>
      </c>
      <c r="J1058" s="231">
        <v>4700000</v>
      </c>
      <c r="K1058" s="54"/>
      <c r="L1058" s="54">
        <f>SUM(J1058+K1058)</f>
        <v>4700000</v>
      </c>
    </row>
    <row r="1059" spans="1:13" ht="15" x14ac:dyDescent="0.2">
      <c r="A1059" s="519"/>
      <c r="B1059" s="49"/>
      <c r="C1059" s="438"/>
      <c r="D1059" s="519"/>
      <c r="E1059" s="579"/>
      <c r="F1059" s="311"/>
      <c r="G1059" s="47"/>
      <c r="H1059" s="312"/>
      <c r="I1059" s="235" t="s">
        <v>710</v>
      </c>
      <c r="J1059" s="199">
        <f>SUM(J1058)</f>
        <v>4700000</v>
      </c>
      <c r="K1059" s="60"/>
      <c r="L1059" s="60">
        <f>SUM(L1058)</f>
        <v>4700000</v>
      </c>
    </row>
    <row r="1060" spans="1:13" ht="15" x14ac:dyDescent="0.25">
      <c r="A1060" s="519"/>
      <c r="B1060" s="49"/>
      <c r="C1060" s="438"/>
      <c r="D1060" s="519"/>
      <c r="E1060" s="579"/>
      <c r="F1060" s="311"/>
      <c r="G1060" s="55" t="s">
        <v>37</v>
      </c>
      <c r="H1060" s="315"/>
      <c r="I1060" s="220" t="s">
        <v>38</v>
      </c>
      <c r="J1060" s="54">
        <f>SUM(J1059-J1061)</f>
        <v>470000</v>
      </c>
      <c r="K1060" s="54"/>
      <c r="L1060" s="54">
        <f>SUM(J1060+K1060)</f>
        <v>470000</v>
      </c>
    </row>
    <row r="1061" spans="1:13" ht="15" x14ac:dyDescent="0.25">
      <c r="A1061" s="519"/>
      <c r="B1061" s="49"/>
      <c r="C1061" s="438"/>
      <c r="D1061" s="519"/>
      <c r="E1061" s="579"/>
      <c r="F1061" s="311"/>
      <c r="G1061" s="55" t="s">
        <v>113</v>
      </c>
      <c r="H1061" s="315"/>
      <c r="I1061" s="220" t="s">
        <v>280</v>
      </c>
      <c r="J1061" s="54">
        <v>4230000</v>
      </c>
      <c r="K1061" s="54"/>
      <c r="L1061" s="54">
        <f>SUM(J1061+K1061)</f>
        <v>4230000</v>
      </c>
    </row>
    <row r="1062" spans="1:13" ht="15" x14ac:dyDescent="0.2">
      <c r="A1062" s="519"/>
      <c r="B1062" s="49"/>
      <c r="C1062" s="438"/>
      <c r="D1062" s="519"/>
      <c r="E1062" s="579"/>
      <c r="F1062" s="311"/>
      <c r="G1062" s="47"/>
      <c r="H1062" s="312"/>
      <c r="I1062" s="26"/>
      <c r="J1062" s="192"/>
      <c r="K1062" s="192"/>
      <c r="L1062" s="327"/>
    </row>
    <row r="1063" spans="1:13" ht="22.5" x14ac:dyDescent="0.25">
      <c r="A1063" s="519"/>
      <c r="B1063" s="49"/>
      <c r="C1063" s="438"/>
      <c r="D1063" s="519"/>
      <c r="E1063" s="581" t="s">
        <v>251</v>
      </c>
      <c r="F1063" s="391"/>
      <c r="G1063" s="334"/>
      <c r="H1063" s="469"/>
      <c r="I1063" s="395" t="s">
        <v>860</v>
      </c>
      <c r="J1063" s="80"/>
      <c r="K1063" s="80"/>
      <c r="L1063" s="260"/>
    </row>
    <row r="1064" spans="1:13" ht="15" x14ac:dyDescent="0.2">
      <c r="A1064" s="519"/>
      <c r="B1064" s="49"/>
      <c r="C1064" s="438"/>
      <c r="D1064" s="519"/>
      <c r="E1064" s="579"/>
      <c r="F1064" s="311">
        <v>194</v>
      </c>
      <c r="G1064" s="47"/>
      <c r="H1064" s="312" t="s">
        <v>46</v>
      </c>
      <c r="I1064" s="220" t="s">
        <v>10</v>
      </c>
      <c r="J1064" s="221">
        <v>120000</v>
      </c>
      <c r="K1064" s="221"/>
      <c r="L1064" s="221">
        <f>SUM(J1064:K1064)</f>
        <v>120000</v>
      </c>
    </row>
    <row r="1065" spans="1:13" ht="15" x14ac:dyDescent="0.2">
      <c r="A1065" s="519"/>
      <c r="B1065" s="49"/>
      <c r="C1065" s="438"/>
      <c r="D1065" s="519"/>
      <c r="E1065" s="579"/>
      <c r="F1065" s="311">
        <v>195</v>
      </c>
      <c r="G1065" s="47"/>
      <c r="H1065" s="312" t="s">
        <v>570</v>
      </c>
      <c r="I1065" s="220" t="s">
        <v>51</v>
      </c>
      <c r="J1065" s="221">
        <v>6000000</v>
      </c>
      <c r="K1065" s="59"/>
      <c r="L1065" s="59">
        <f>SUM(J1065+K1065)</f>
        <v>6000000</v>
      </c>
    </row>
    <row r="1066" spans="1:13" ht="15" x14ac:dyDescent="0.2">
      <c r="A1066" s="519"/>
      <c r="B1066" s="49"/>
      <c r="C1066" s="438"/>
      <c r="D1066" s="519"/>
      <c r="E1066" s="582"/>
      <c r="F1066" s="441"/>
      <c r="G1066" s="230"/>
      <c r="H1066" s="340"/>
      <c r="I1066" s="840" t="s">
        <v>704</v>
      </c>
      <c r="J1066" s="252">
        <f>SUM(J1064:J1065)</f>
        <v>6120000</v>
      </c>
      <c r="K1066" s="60"/>
      <c r="L1066" s="60">
        <f>SUM(L1064:L1065)</f>
        <v>6120000</v>
      </c>
    </row>
    <row r="1067" spans="1:13" ht="15" x14ac:dyDescent="0.2">
      <c r="A1067" s="519"/>
      <c r="B1067" s="49"/>
      <c r="C1067" s="438"/>
      <c r="D1067" s="519"/>
      <c r="E1067" s="579"/>
      <c r="F1067" s="311"/>
      <c r="G1067" s="55" t="s">
        <v>37</v>
      </c>
      <c r="H1067" s="313"/>
      <c r="I1067" s="220" t="s">
        <v>38</v>
      </c>
      <c r="J1067" s="59">
        <f>SUM(J1066-J1068)</f>
        <v>6119000</v>
      </c>
      <c r="K1067" s="59"/>
      <c r="L1067" s="59">
        <f>SUM(J1067+K1067)</f>
        <v>6119000</v>
      </c>
    </row>
    <row r="1068" spans="1:13" ht="15" x14ac:dyDescent="0.2">
      <c r="A1068" s="519"/>
      <c r="B1068" s="49"/>
      <c r="C1068" s="438"/>
      <c r="D1068" s="519"/>
      <c r="E1068" s="579"/>
      <c r="F1068" s="311"/>
      <c r="G1068" s="55" t="s">
        <v>113</v>
      </c>
      <c r="H1068" s="312"/>
      <c r="I1068" s="220" t="s">
        <v>280</v>
      </c>
      <c r="J1068" s="59">
        <v>1000</v>
      </c>
      <c r="K1068" s="59"/>
      <c r="L1068" s="59">
        <f>SUM(J1068+K1068)</f>
        <v>1000</v>
      </c>
    </row>
    <row r="1069" spans="1:13" x14ac:dyDescent="0.2">
      <c r="B1069" s="49"/>
      <c r="C1069" s="503"/>
      <c r="D1069" s="503"/>
      <c r="E1069" s="584"/>
      <c r="F1069" s="311"/>
      <c r="G1069" s="230"/>
      <c r="H1069" s="313"/>
      <c r="I1069" s="249"/>
      <c r="J1069" s="30"/>
      <c r="K1069" s="30"/>
      <c r="L1069" s="61"/>
    </row>
    <row r="1070" spans="1:13" x14ac:dyDescent="0.2">
      <c r="B1070" s="49"/>
      <c r="C1070" s="49">
        <v>620</v>
      </c>
      <c r="D1070" s="520"/>
      <c r="E1070" s="579"/>
      <c r="F1070" s="311"/>
      <c r="G1070" s="47"/>
      <c r="H1070" s="471"/>
      <c r="I1070" s="287" t="s">
        <v>105</v>
      </c>
      <c r="J1070" s="326"/>
      <c r="K1070" s="326"/>
      <c r="L1070" s="57"/>
    </row>
    <row r="1071" spans="1:13" ht="15" x14ac:dyDescent="0.25">
      <c r="B1071" s="49"/>
      <c r="D1071" s="520"/>
      <c r="E1071" s="579"/>
      <c r="F1071" s="311"/>
      <c r="G1071" s="47"/>
      <c r="H1071" s="315"/>
      <c r="I1071" s="233"/>
      <c r="J1071" s="30"/>
      <c r="K1071" s="30"/>
      <c r="L1071" s="61"/>
      <c r="M1071" s="27"/>
    </row>
    <row r="1072" spans="1:13" ht="15" x14ac:dyDescent="0.25">
      <c r="B1072" s="49"/>
      <c r="D1072" s="519"/>
      <c r="E1072" s="580"/>
      <c r="F1072" s="439"/>
      <c r="G1072" s="329"/>
      <c r="H1072" s="472"/>
      <c r="I1072" s="396" t="s">
        <v>237</v>
      </c>
      <c r="J1072" s="397"/>
      <c r="K1072" s="494"/>
      <c r="L1072" s="331"/>
    </row>
    <row r="1073" spans="1:14" ht="15" x14ac:dyDescent="0.25">
      <c r="A1073" s="711"/>
      <c r="B1073" s="646"/>
      <c r="D1073" s="519"/>
      <c r="E1073" s="580" t="s">
        <v>252</v>
      </c>
      <c r="F1073" s="439"/>
      <c r="G1073" s="329"/>
      <c r="H1073" s="472"/>
      <c r="I1073" s="398" t="s">
        <v>636</v>
      </c>
      <c r="J1073" s="399"/>
      <c r="K1073" s="486"/>
      <c r="L1073" s="400"/>
    </row>
    <row r="1074" spans="1:14" x14ac:dyDescent="0.2">
      <c r="B1074" s="49"/>
      <c r="D1074" s="519"/>
      <c r="E1074" s="579"/>
      <c r="F1074" s="311"/>
      <c r="G1074" s="321"/>
      <c r="H1074" s="312"/>
      <c r="I1074" s="266"/>
      <c r="J1074" s="31"/>
      <c r="K1074" s="30"/>
      <c r="L1074" s="61"/>
    </row>
    <row r="1075" spans="1:14" x14ac:dyDescent="0.2">
      <c r="B1075" s="49"/>
      <c r="D1075" s="519"/>
      <c r="E1075" s="579"/>
      <c r="F1075" s="311">
        <v>196</v>
      </c>
      <c r="G1075" s="47"/>
      <c r="H1075" s="311">
        <v>424</v>
      </c>
      <c r="I1075" s="270" t="s">
        <v>655</v>
      </c>
      <c r="J1075" s="59">
        <v>177197984</v>
      </c>
      <c r="K1075" s="59"/>
      <c r="L1075" s="59">
        <f>SUM(J1075+K1075)</f>
        <v>177197984</v>
      </c>
    </row>
    <row r="1076" spans="1:14" x14ac:dyDescent="0.2">
      <c r="B1076" s="49"/>
      <c r="D1076" s="519"/>
      <c r="E1076" s="579"/>
      <c r="F1076" s="311">
        <v>197</v>
      </c>
      <c r="G1076" s="47"/>
      <c r="H1076" s="311">
        <v>451</v>
      </c>
      <c r="I1076" s="267" t="s">
        <v>658</v>
      </c>
      <c r="J1076" s="59">
        <v>13845000</v>
      </c>
      <c r="K1076" s="59"/>
      <c r="L1076" s="59">
        <f>SUM(J1076+K1076)</f>
        <v>13845000</v>
      </c>
    </row>
    <row r="1077" spans="1:14" x14ac:dyDescent="0.2">
      <c r="B1077" s="49"/>
      <c r="D1077" s="519"/>
      <c r="E1077" s="579"/>
      <c r="F1077" s="311"/>
      <c r="G1077" s="55" t="s">
        <v>37</v>
      </c>
      <c r="H1077" s="313"/>
      <c r="I1077" s="220" t="s">
        <v>38</v>
      </c>
      <c r="J1077" s="59">
        <f>SUM(J1075:J1076)</f>
        <v>191042984</v>
      </c>
      <c r="K1077" s="60"/>
      <c r="L1077" s="59">
        <f>SUM(J1077+K1077)</f>
        <v>191042984</v>
      </c>
    </row>
    <row r="1078" spans="1:14" x14ac:dyDescent="0.2">
      <c r="B1078" s="49"/>
      <c r="D1078" s="519"/>
      <c r="E1078" s="579"/>
      <c r="F1078" s="311"/>
      <c r="G1078" s="47"/>
      <c r="H1078" s="312"/>
      <c r="I1078" s="229" t="s">
        <v>610</v>
      </c>
      <c r="J1078" s="60">
        <f>SUM(J1077)</f>
        <v>191042984</v>
      </c>
      <c r="K1078" s="60"/>
      <c r="L1078" s="60">
        <f t="shared" ref="L1078" si="56">SUM(L1077)</f>
        <v>191042984</v>
      </c>
    </row>
    <row r="1079" spans="1:14" x14ac:dyDescent="0.2">
      <c r="B1079" s="49"/>
      <c r="C1079" s="503"/>
      <c r="D1079" s="503"/>
      <c r="E1079" s="584"/>
      <c r="F1079" s="311"/>
      <c r="G1079" s="230"/>
      <c r="H1079" s="312"/>
      <c r="I1079" s="249"/>
      <c r="J1079" s="30"/>
      <c r="K1079" s="30"/>
      <c r="L1079" s="61"/>
    </row>
    <row r="1080" spans="1:14" x14ac:dyDescent="0.2">
      <c r="B1080" s="49"/>
      <c r="C1080" s="49">
        <v>620</v>
      </c>
      <c r="D1080" s="520"/>
      <c r="E1080" s="579"/>
      <c r="F1080" s="311"/>
      <c r="G1080" s="47"/>
      <c r="H1080" s="312"/>
      <c r="I1080" s="287" t="s">
        <v>105</v>
      </c>
      <c r="J1080" s="326"/>
      <c r="K1080" s="326"/>
      <c r="L1080" s="57"/>
    </row>
    <row r="1081" spans="1:14" x14ac:dyDescent="0.2">
      <c r="B1081" s="49"/>
      <c r="D1081" s="520"/>
      <c r="E1081" s="579"/>
      <c r="F1081" s="311"/>
      <c r="G1081" s="47"/>
      <c r="H1081" s="312"/>
      <c r="I1081" s="233"/>
      <c r="J1081" s="30"/>
      <c r="K1081" s="30"/>
      <c r="L1081" s="61"/>
    </row>
    <row r="1082" spans="1:14" ht="23.25" customHeight="1" x14ac:dyDescent="0.2">
      <c r="B1082" s="49"/>
      <c r="D1082" s="708"/>
      <c r="E1082" s="969" t="s">
        <v>251</v>
      </c>
      <c r="F1082" s="970"/>
      <c r="G1082" s="971"/>
      <c r="H1082" s="972"/>
      <c r="I1082" s="973" t="s">
        <v>859</v>
      </c>
      <c r="J1082" s="974"/>
      <c r="K1082" s="974"/>
      <c r="L1082" s="975"/>
    </row>
    <row r="1083" spans="1:14" ht="23.25" customHeight="1" x14ac:dyDescent="0.2">
      <c r="B1083" s="49"/>
      <c r="D1083" s="708"/>
      <c r="E1083" s="976"/>
      <c r="F1083" s="977" t="s">
        <v>987</v>
      </c>
      <c r="G1083" s="978"/>
      <c r="H1083" s="979" t="s">
        <v>46</v>
      </c>
      <c r="I1083" s="980" t="s">
        <v>10</v>
      </c>
      <c r="J1083" s="981">
        <v>400000</v>
      </c>
      <c r="K1083" s="982"/>
      <c r="L1083" s="983">
        <f>SUM(J1083:K1083)</f>
        <v>400000</v>
      </c>
    </row>
    <row r="1084" spans="1:14" x14ac:dyDescent="0.2">
      <c r="B1084" s="49"/>
      <c r="D1084" s="708"/>
      <c r="E1084" s="834"/>
      <c r="F1084" s="835">
        <v>198</v>
      </c>
      <c r="G1084" s="836"/>
      <c r="H1084" s="837" t="s">
        <v>270</v>
      </c>
      <c r="I1084" s="935" t="s">
        <v>20</v>
      </c>
      <c r="J1084" s="214">
        <v>79520000</v>
      </c>
      <c r="K1084" s="214"/>
      <c r="L1084" s="214">
        <f>SUM(J1084:K1084)</f>
        <v>79520000</v>
      </c>
      <c r="N1084" s="942"/>
    </row>
    <row r="1085" spans="1:14" x14ac:dyDescent="0.2">
      <c r="B1085" s="49"/>
      <c r="D1085" s="708"/>
      <c r="E1085" s="834"/>
      <c r="F1085" s="835"/>
      <c r="G1085" s="984" t="s">
        <v>37</v>
      </c>
      <c r="H1085" s="837"/>
      <c r="I1085" s="935" t="s">
        <v>38</v>
      </c>
      <c r="J1085" s="214">
        <f>SUM(J1083:J1084)</f>
        <v>79920000</v>
      </c>
      <c r="K1085" s="214"/>
      <c r="L1085" s="214">
        <f t="shared" ref="L1085" si="57">SUM(L1083:L1084)</f>
        <v>79920000</v>
      </c>
    </row>
    <row r="1086" spans="1:14" ht="15" x14ac:dyDescent="0.25">
      <c r="B1086" s="49"/>
      <c r="D1086" s="519"/>
      <c r="E1086" s="834"/>
      <c r="F1086" s="835"/>
      <c r="G1086" s="836"/>
      <c r="H1086" s="985"/>
      <c r="I1086" s="986" t="s">
        <v>710</v>
      </c>
      <c r="J1086" s="936">
        <f>SUM(J1083:J1084)</f>
        <v>79920000</v>
      </c>
      <c r="K1086" s="936"/>
      <c r="L1086" s="936">
        <f t="shared" ref="L1086" si="58">SUM(L1083:L1084)</f>
        <v>79920000</v>
      </c>
    </row>
    <row r="1087" spans="1:14" ht="15" x14ac:dyDescent="0.25">
      <c r="B1087" s="49"/>
      <c r="D1087" s="519"/>
      <c r="E1087" s="579"/>
      <c r="F1087" s="311"/>
      <c r="G1087" s="47"/>
      <c r="H1087" s="315"/>
      <c r="I1087" s="26"/>
      <c r="J1087" s="224"/>
      <c r="K1087" s="30"/>
      <c r="L1087" s="61"/>
    </row>
    <row r="1088" spans="1:14" ht="22.5" x14ac:dyDescent="0.2">
      <c r="B1088" s="49"/>
      <c r="D1088" s="519"/>
      <c r="E1088" s="581" t="s">
        <v>251</v>
      </c>
      <c r="F1088" s="391"/>
      <c r="G1088" s="334"/>
      <c r="H1088" s="393"/>
      <c r="I1088" s="336" t="s">
        <v>857</v>
      </c>
      <c r="J1088" s="225"/>
      <c r="K1088" s="225"/>
      <c r="L1088" s="226"/>
    </row>
    <row r="1089" spans="2:12" x14ac:dyDescent="0.2">
      <c r="B1089" s="49"/>
      <c r="D1089" s="519"/>
      <c r="E1089" s="579"/>
      <c r="F1089" s="311">
        <v>199</v>
      </c>
      <c r="G1089" s="47"/>
      <c r="H1089" s="312" t="s">
        <v>270</v>
      </c>
      <c r="I1089" s="220" t="s">
        <v>20</v>
      </c>
      <c r="J1089" s="59">
        <v>2820000</v>
      </c>
      <c r="K1089" s="59"/>
      <c r="L1089" s="59">
        <f>SUM(J1089:K1089)</f>
        <v>2820000</v>
      </c>
    </row>
    <row r="1090" spans="2:12" x14ac:dyDescent="0.2">
      <c r="B1090" s="49"/>
      <c r="D1090" s="519"/>
      <c r="E1090" s="579"/>
      <c r="F1090" s="311"/>
      <c r="G1090" s="55" t="s">
        <v>37</v>
      </c>
      <c r="H1090" s="311"/>
      <c r="I1090" s="220" t="s">
        <v>38</v>
      </c>
      <c r="J1090" s="59">
        <f>SUM(J1092-J1091)</f>
        <v>2590000</v>
      </c>
      <c r="K1090" s="59"/>
      <c r="L1090" s="59">
        <f t="shared" ref="L1090:L1092" si="59">SUM(J1090:K1090)</f>
        <v>2590000</v>
      </c>
    </row>
    <row r="1091" spans="2:12" x14ac:dyDescent="0.2">
      <c r="B1091" s="49"/>
      <c r="D1091" s="519"/>
      <c r="E1091" s="579"/>
      <c r="F1091" s="311"/>
      <c r="G1091" s="55" t="s">
        <v>113</v>
      </c>
      <c r="H1091" s="312"/>
      <c r="I1091" s="270" t="s">
        <v>280</v>
      </c>
      <c r="J1091" s="59">
        <v>230000</v>
      </c>
      <c r="K1091" s="59"/>
      <c r="L1091" s="59">
        <f t="shared" si="59"/>
        <v>230000</v>
      </c>
    </row>
    <row r="1092" spans="2:12" x14ac:dyDescent="0.2">
      <c r="B1092" s="49"/>
      <c r="D1092" s="519"/>
      <c r="E1092" s="579"/>
      <c r="F1092" s="311"/>
      <c r="G1092" s="47"/>
      <c r="H1092" s="312"/>
      <c r="I1092" s="229" t="s">
        <v>710</v>
      </c>
      <c r="J1092" s="60">
        <f>SUM(J1089:J1089)</f>
        <v>2820000</v>
      </c>
      <c r="K1092" s="60"/>
      <c r="L1092" s="60">
        <f t="shared" si="59"/>
        <v>2820000</v>
      </c>
    </row>
    <row r="1093" spans="2:12" x14ac:dyDescent="0.2">
      <c r="B1093" s="49"/>
      <c r="D1093" s="519"/>
      <c r="E1093" s="579"/>
      <c r="F1093" s="311"/>
      <c r="G1093" s="47"/>
      <c r="H1093" s="312"/>
      <c r="I1093" s="712"/>
      <c r="J1093" s="80"/>
      <c r="K1093" s="80"/>
      <c r="L1093" s="260"/>
    </row>
    <row r="1094" spans="2:12" ht="22.5" x14ac:dyDescent="0.2">
      <c r="B1094" s="49"/>
      <c r="D1094" s="519"/>
      <c r="E1094" s="581" t="s">
        <v>251</v>
      </c>
      <c r="F1094" s="391"/>
      <c r="G1094" s="334"/>
      <c r="H1094" s="393"/>
      <c r="I1094" s="339" t="s">
        <v>856</v>
      </c>
      <c r="J1094" s="80"/>
      <c r="K1094" s="80"/>
      <c r="L1094" s="260"/>
    </row>
    <row r="1095" spans="2:12" x14ac:dyDescent="0.2">
      <c r="B1095" s="49"/>
      <c r="D1095" s="519"/>
      <c r="E1095" s="579"/>
      <c r="F1095" s="311">
        <v>200</v>
      </c>
      <c r="G1095" s="47"/>
      <c r="H1095" s="311">
        <v>511</v>
      </c>
      <c r="I1095" s="289" t="s">
        <v>20</v>
      </c>
      <c r="J1095" s="59">
        <v>3591606.84</v>
      </c>
      <c r="K1095" s="60"/>
      <c r="L1095" s="59">
        <f>SUM(J1095:K1095)</f>
        <v>3591606.84</v>
      </c>
    </row>
    <row r="1096" spans="2:12" x14ac:dyDescent="0.2">
      <c r="B1096" s="49"/>
      <c r="D1096" s="519"/>
      <c r="E1096" s="579"/>
      <c r="F1096" s="311"/>
      <c r="G1096" s="55" t="s">
        <v>37</v>
      </c>
      <c r="H1096" s="470"/>
      <c r="I1096" s="289" t="s">
        <v>38</v>
      </c>
      <c r="J1096" s="59">
        <f>SUM(J1095:J1095)</f>
        <v>3591606.84</v>
      </c>
      <c r="K1096" s="60"/>
      <c r="L1096" s="59">
        <f>SUM(J1096+K1096)</f>
        <v>3591606.84</v>
      </c>
    </row>
    <row r="1097" spans="2:12" ht="15" x14ac:dyDescent="0.25">
      <c r="B1097" s="49"/>
      <c r="D1097" s="519"/>
      <c r="E1097" s="579"/>
      <c r="F1097" s="311"/>
      <c r="G1097" s="47"/>
      <c r="H1097" s="325"/>
      <c r="I1097" s="229" t="s">
        <v>710</v>
      </c>
      <c r="J1097" s="60">
        <f>SUM(J1096)</f>
        <v>3591606.84</v>
      </c>
      <c r="K1097" s="60"/>
      <c r="L1097" s="60">
        <f>SUM(J1097+K1097)</f>
        <v>3591606.84</v>
      </c>
    </row>
    <row r="1098" spans="2:12" x14ac:dyDescent="0.2">
      <c r="B1098" s="49"/>
      <c r="D1098" s="519"/>
      <c r="E1098" s="579"/>
      <c r="F1098" s="311"/>
      <c r="G1098" s="47"/>
      <c r="H1098" s="312"/>
      <c r="I1098" s="18"/>
      <c r="J1098" s="30"/>
      <c r="K1098" s="30"/>
      <c r="L1098" s="61"/>
    </row>
    <row r="1099" spans="2:12" ht="22.5" x14ac:dyDescent="0.2">
      <c r="B1099" s="49"/>
      <c r="D1099" s="519"/>
      <c r="E1099" s="581" t="s">
        <v>251</v>
      </c>
      <c r="F1099" s="391"/>
      <c r="G1099" s="334"/>
      <c r="H1099" s="393"/>
      <c r="I1099" s="339" t="s">
        <v>858</v>
      </c>
      <c r="J1099" s="80"/>
      <c r="K1099" s="80"/>
      <c r="L1099" s="260"/>
    </row>
    <row r="1100" spans="2:12" x14ac:dyDescent="0.2">
      <c r="B1100" s="49"/>
      <c r="D1100" s="519"/>
      <c r="E1100" s="579"/>
      <c r="F1100" s="311">
        <v>201</v>
      </c>
      <c r="G1100" s="47"/>
      <c r="H1100" s="312" t="s">
        <v>270</v>
      </c>
      <c r="I1100" s="289" t="s">
        <v>20</v>
      </c>
      <c r="J1100" s="59">
        <v>10200000</v>
      </c>
      <c r="K1100" s="60"/>
      <c r="L1100" s="59">
        <f>SUM(J1100:K1100)</f>
        <v>10200000</v>
      </c>
    </row>
    <row r="1101" spans="2:12" x14ac:dyDescent="0.2">
      <c r="B1101" s="49"/>
      <c r="D1101" s="519"/>
      <c r="E1101" s="579"/>
      <c r="F1101" s="311"/>
      <c r="G1101" s="55" t="s">
        <v>37</v>
      </c>
      <c r="H1101" s="312"/>
      <c r="I1101" s="289" t="s">
        <v>38</v>
      </c>
      <c r="J1101" s="59">
        <f>SUM(J1100:J1100)</f>
        <v>10200000</v>
      </c>
      <c r="K1101" s="60"/>
      <c r="L1101" s="59">
        <f>SUM(J1101+K1101)</f>
        <v>10200000</v>
      </c>
    </row>
    <row r="1102" spans="2:12" ht="15" x14ac:dyDescent="0.25">
      <c r="B1102" s="49"/>
      <c r="D1102" s="519"/>
      <c r="E1102" s="579"/>
      <c r="F1102" s="311"/>
      <c r="G1102" s="47"/>
      <c r="H1102" s="315"/>
      <c r="I1102" s="229" t="s">
        <v>710</v>
      </c>
      <c r="J1102" s="60">
        <f>SUM(J1101)</f>
        <v>10200000</v>
      </c>
      <c r="K1102" s="60"/>
      <c r="L1102" s="60">
        <f>SUM(J1102+K1102)</f>
        <v>10200000</v>
      </c>
    </row>
    <row r="1103" spans="2:12" x14ac:dyDescent="0.2">
      <c r="B1103" s="49"/>
      <c r="D1103" s="519"/>
      <c r="E1103" s="579"/>
      <c r="F1103" s="311"/>
      <c r="G1103" s="47"/>
      <c r="H1103" s="312"/>
      <c r="I1103" s="18"/>
      <c r="J1103" s="30"/>
      <c r="K1103" s="30"/>
      <c r="L1103" s="61"/>
    </row>
    <row r="1104" spans="2:12" ht="33.75" x14ac:dyDescent="0.2">
      <c r="B1104" s="49"/>
      <c r="D1104" s="519"/>
      <c r="E1104" s="581" t="s">
        <v>251</v>
      </c>
      <c r="F1104" s="391"/>
      <c r="G1104" s="334"/>
      <c r="H1104" s="393"/>
      <c r="I1104" s="339" t="s">
        <v>960</v>
      </c>
      <c r="J1104" s="259"/>
      <c r="K1104" s="80"/>
      <c r="L1104" s="260"/>
    </row>
    <row r="1105" spans="1:14" x14ac:dyDescent="0.2">
      <c r="B1105" s="49"/>
      <c r="D1105" s="519"/>
      <c r="E1105" s="579"/>
      <c r="F1105" s="311">
        <v>202</v>
      </c>
      <c r="G1105" s="47"/>
      <c r="H1105" s="312" t="s">
        <v>270</v>
      </c>
      <c r="I1105" s="289" t="s">
        <v>20</v>
      </c>
      <c r="J1105" s="64">
        <v>1000</v>
      </c>
      <c r="K1105" s="60"/>
      <c r="L1105" s="59">
        <f>SUM(J1105:K1105)</f>
        <v>1000</v>
      </c>
      <c r="N1105" s="942"/>
    </row>
    <row r="1106" spans="1:14" x14ac:dyDescent="0.2">
      <c r="B1106" s="49"/>
      <c r="D1106" s="519"/>
      <c r="E1106" s="579"/>
      <c r="F1106" s="311"/>
      <c r="G1106" s="55" t="s">
        <v>37</v>
      </c>
      <c r="H1106" s="312"/>
      <c r="I1106" s="271" t="s">
        <v>38</v>
      </c>
      <c r="J1106" s="227">
        <f>SUM(J1105)</f>
        <v>1000</v>
      </c>
      <c r="K1106" s="60"/>
      <c r="L1106" s="59">
        <f>SUM(J1105:K1105)</f>
        <v>1000</v>
      </c>
    </row>
    <row r="1107" spans="1:14" ht="15" x14ac:dyDescent="0.25">
      <c r="B1107" s="49"/>
      <c r="D1107" s="519"/>
      <c r="E1107" s="579"/>
      <c r="F1107" s="311"/>
      <c r="G1107" s="47"/>
      <c r="H1107" s="315"/>
      <c r="I1107" s="229" t="s">
        <v>710</v>
      </c>
      <c r="J1107" s="56">
        <f>SUM(J1106)</f>
        <v>1000</v>
      </c>
      <c r="K1107" s="60"/>
      <c r="L1107" s="60">
        <f>SUM(L1106)</f>
        <v>1000</v>
      </c>
    </row>
    <row r="1108" spans="1:14" x14ac:dyDescent="0.2">
      <c r="B1108" s="49"/>
      <c r="D1108" s="519"/>
      <c r="E1108" s="579"/>
      <c r="F1108" s="311"/>
      <c r="G1108" s="47"/>
      <c r="H1108" s="312"/>
      <c r="I1108" s="18"/>
      <c r="J1108" s="224"/>
      <c r="K1108" s="30"/>
      <c r="L1108" s="61"/>
    </row>
    <row r="1109" spans="1:14" ht="22.5" customHeight="1" x14ac:dyDescent="0.2">
      <c r="B1109" s="49"/>
      <c r="D1109" s="519"/>
      <c r="E1109" s="581" t="s">
        <v>251</v>
      </c>
      <c r="F1109" s="391"/>
      <c r="G1109" s="334"/>
      <c r="H1109" s="393"/>
      <c r="I1109" s="339" t="s">
        <v>855</v>
      </c>
      <c r="J1109" s="259"/>
      <c r="K1109" s="80"/>
      <c r="L1109" s="260"/>
    </row>
    <row r="1110" spans="1:14" ht="14.25" customHeight="1" x14ac:dyDescent="0.2">
      <c r="B1110" s="49"/>
      <c r="D1110" s="519"/>
      <c r="E1110" s="579"/>
      <c r="F1110" s="311">
        <v>203</v>
      </c>
      <c r="G1110" s="47"/>
      <c r="H1110" s="312" t="s">
        <v>270</v>
      </c>
      <c r="I1110" s="220" t="s">
        <v>20</v>
      </c>
      <c r="J1110" s="64">
        <v>4380000</v>
      </c>
      <c r="K1110" s="60"/>
      <c r="L1110" s="59">
        <f>SUM(J1110:K1110)</f>
        <v>4380000</v>
      </c>
      <c r="N1110" s="942"/>
    </row>
    <row r="1111" spans="1:14" ht="22.5" customHeight="1" x14ac:dyDescent="0.2">
      <c r="B1111" s="49"/>
      <c r="D1111" s="519"/>
      <c r="E1111" s="579"/>
      <c r="F1111" s="311"/>
      <c r="G1111" s="55" t="s">
        <v>37</v>
      </c>
      <c r="H1111" s="312"/>
      <c r="I1111" s="220" t="s">
        <v>38</v>
      </c>
      <c r="J1111" s="64">
        <f>SUM(J1110:J1110)</f>
        <v>4380000</v>
      </c>
      <c r="K1111" s="60"/>
      <c r="L1111" s="59">
        <f>SUM(J1110:K1110)</f>
        <v>4380000</v>
      </c>
    </row>
    <row r="1112" spans="1:14" ht="24" customHeight="1" x14ac:dyDescent="0.2">
      <c r="B1112" s="49"/>
      <c r="D1112" s="519"/>
      <c r="E1112" s="579"/>
      <c r="F1112" s="311"/>
      <c r="G1112" s="47"/>
      <c r="H1112" s="313"/>
      <c r="I1112" s="229" t="s">
        <v>710</v>
      </c>
      <c r="J1112" s="56">
        <f>SUM(J1111)</f>
        <v>4380000</v>
      </c>
      <c r="K1112" s="60"/>
      <c r="L1112" s="60">
        <f>SUM(L1111)</f>
        <v>4380000</v>
      </c>
    </row>
    <row r="1113" spans="1:14" x14ac:dyDescent="0.2">
      <c r="B1113" s="49"/>
      <c r="D1113" s="519"/>
      <c r="E1113" s="579"/>
      <c r="F1113" s="311"/>
      <c r="G1113" s="47"/>
      <c r="H1113" s="313"/>
      <c r="I1113" s="26"/>
      <c r="J1113" s="224"/>
      <c r="K1113" s="30"/>
      <c r="L1113" s="61"/>
    </row>
    <row r="1114" spans="1:14" x14ac:dyDescent="0.2">
      <c r="A1114" s="520"/>
      <c r="B1114" s="49"/>
      <c r="D1114" s="49"/>
      <c r="E1114" s="581" t="s">
        <v>251</v>
      </c>
      <c r="F1114" s="391"/>
      <c r="G1114" s="334"/>
      <c r="H1114" s="393"/>
      <c r="I1114" s="401" t="s">
        <v>854</v>
      </c>
      <c r="J1114" s="261"/>
      <c r="K1114" s="326"/>
      <c r="L1114" s="57"/>
    </row>
    <row r="1115" spans="1:14" x14ac:dyDescent="0.2">
      <c r="B1115" s="49"/>
      <c r="D1115" s="519"/>
      <c r="E1115" s="579"/>
      <c r="F1115" s="311">
        <v>204</v>
      </c>
      <c r="G1115" s="47"/>
      <c r="H1115" s="312" t="s">
        <v>270</v>
      </c>
      <c r="I1115" s="289" t="s">
        <v>20</v>
      </c>
      <c r="J1115" s="64">
        <v>5000000</v>
      </c>
      <c r="K1115" s="59"/>
      <c r="L1115" s="59">
        <f>SUM(J1115:K1115)</f>
        <v>5000000</v>
      </c>
      <c r="M1115" s="189"/>
    </row>
    <row r="1116" spans="1:14" x14ac:dyDescent="0.2">
      <c r="B1116" s="49"/>
      <c r="D1116" s="519"/>
      <c r="E1116" s="579"/>
      <c r="F1116" s="311"/>
      <c r="G1116" s="55" t="s">
        <v>37</v>
      </c>
      <c r="H1116" s="312"/>
      <c r="I1116" s="289" t="s">
        <v>38</v>
      </c>
      <c r="J1116" s="64">
        <f>SUM(J1118-J1117)</f>
        <v>2500000</v>
      </c>
      <c r="K1116" s="60"/>
      <c r="L1116" s="59">
        <f t="shared" ref="L1116:L1117" si="60">SUM(J1116:K1116)</f>
        <v>2500000</v>
      </c>
      <c r="M1116" s="930"/>
    </row>
    <row r="1117" spans="1:14" x14ac:dyDescent="0.2">
      <c r="B1117" s="49"/>
      <c r="D1117" s="519"/>
      <c r="E1117" s="579"/>
      <c r="F1117" s="311"/>
      <c r="G1117" s="55" t="s">
        <v>113</v>
      </c>
      <c r="H1117" s="312"/>
      <c r="I1117" s="289" t="s">
        <v>418</v>
      </c>
      <c r="J1117" s="64">
        <v>2500000</v>
      </c>
      <c r="K1117" s="60"/>
      <c r="L1117" s="59">
        <f t="shared" si="60"/>
        <v>2500000</v>
      </c>
      <c r="M1117" s="189"/>
    </row>
    <row r="1118" spans="1:14" ht="15" x14ac:dyDescent="0.25">
      <c r="B1118" s="49"/>
      <c r="D1118" s="519"/>
      <c r="E1118" s="579"/>
      <c r="F1118" s="311"/>
      <c r="G1118" s="47"/>
      <c r="H1118" s="315"/>
      <c r="I1118" s="300" t="s">
        <v>710</v>
      </c>
      <c r="J1118" s="56">
        <f>SUM(J1115)</f>
        <v>5000000</v>
      </c>
      <c r="K1118" s="60"/>
      <c r="L1118" s="60">
        <f>SUM(J1118:K1118)</f>
        <v>5000000</v>
      </c>
    </row>
    <row r="1119" spans="1:14" x14ac:dyDescent="0.2">
      <c r="B1119" s="49"/>
      <c r="D1119" s="519"/>
      <c r="E1119" s="579"/>
      <c r="F1119" s="311"/>
      <c r="G1119" s="47"/>
      <c r="H1119" s="312"/>
      <c r="I1119" s="26"/>
      <c r="J1119" s="224"/>
      <c r="K1119" s="30"/>
      <c r="L1119" s="61"/>
    </row>
    <row r="1120" spans="1:14" ht="22.5" x14ac:dyDescent="0.2">
      <c r="B1120" s="49"/>
      <c r="D1120" s="519"/>
      <c r="E1120" s="581" t="s">
        <v>251</v>
      </c>
      <c r="F1120" s="391"/>
      <c r="G1120" s="334"/>
      <c r="H1120" s="393"/>
      <c r="I1120" s="401" t="s">
        <v>853</v>
      </c>
      <c r="J1120" s="261"/>
      <c r="K1120" s="326"/>
      <c r="L1120" s="57"/>
    </row>
    <row r="1121" spans="2:12" x14ac:dyDescent="0.2">
      <c r="B1121" s="49"/>
      <c r="D1121" s="519"/>
      <c r="E1121" s="579"/>
      <c r="F1121" s="311">
        <v>205</v>
      </c>
      <c r="G1121" s="47"/>
      <c r="H1121" s="312" t="s">
        <v>46</v>
      </c>
      <c r="I1121" s="220" t="s">
        <v>10</v>
      </c>
      <c r="J1121" s="64">
        <v>4000000</v>
      </c>
      <c r="K1121" s="60"/>
      <c r="L1121" s="59">
        <f>SUM(J1121:K1121)</f>
        <v>4000000</v>
      </c>
    </row>
    <row r="1122" spans="2:12" x14ac:dyDescent="0.2">
      <c r="B1122" s="49"/>
      <c r="D1122" s="519"/>
      <c r="E1122" s="579"/>
      <c r="F1122" s="311"/>
      <c r="G1122" s="55" t="s">
        <v>37</v>
      </c>
      <c r="H1122" s="312"/>
      <c r="I1122" s="220" t="s">
        <v>38</v>
      </c>
      <c r="J1122" s="64">
        <f>SUM(J1121)</f>
        <v>4000000</v>
      </c>
      <c r="K1122" s="60"/>
      <c r="L1122" s="59">
        <f>SUM(J1121:K1121)</f>
        <v>4000000</v>
      </c>
    </row>
    <row r="1123" spans="2:12" ht="15" x14ac:dyDescent="0.25">
      <c r="B1123" s="49"/>
      <c r="D1123" s="519"/>
      <c r="E1123" s="579"/>
      <c r="F1123" s="311"/>
      <c r="G1123" s="47"/>
      <c r="H1123" s="315"/>
      <c r="I1123" s="229" t="s">
        <v>710</v>
      </c>
      <c r="J1123" s="56">
        <f>SUM(J1122)</f>
        <v>4000000</v>
      </c>
      <c r="K1123" s="60"/>
      <c r="L1123" s="60">
        <f>SUM(L1122)</f>
        <v>4000000</v>
      </c>
    </row>
    <row r="1124" spans="2:12" x14ac:dyDescent="0.2">
      <c r="B1124" s="49"/>
      <c r="D1124" s="519"/>
      <c r="E1124" s="579"/>
      <c r="F1124" s="311"/>
      <c r="G1124" s="47"/>
      <c r="H1124" s="312"/>
      <c r="I1124" s="18"/>
      <c r="J1124" s="224"/>
      <c r="K1124" s="30"/>
      <c r="L1124" s="61"/>
    </row>
    <row r="1125" spans="2:12" ht="22.5" x14ac:dyDescent="0.2">
      <c r="B1125" s="49"/>
      <c r="D1125" s="519"/>
      <c r="E1125" s="581" t="s">
        <v>251</v>
      </c>
      <c r="F1125" s="391"/>
      <c r="G1125" s="334"/>
      <c r="H1125" s="393"/>
      <c r="I1125" s="401" t="s">
        <v>852</v>
      </c>
      <c r="J1125" s="261"/>
      <c r="K1125" s="326"/>
      <c r="L1125" s="57"/>
    </row>
    <row r="1126" spans="2:12" x14ac:dyDescent="0.2">
      <c r="B1126" s="49"/>
      <c r="D1126" s="519"/>
      <c r="E1126" s="579"/>
      <c r="F1126" s="311">
        <v>206</v>
      </c>
      <c r="G1126" s="47"/>
      <c r="H1126" s="311">
        <v>424</v>
      </c>
      <c r="I1126" s="220" t="s">
        <v>10</v>
      </c>
      <c r="J1126" s="64">
        <v>600000</v>
      </c>
      <c r="K1126" s="60"/>
      <c r="L1126" s="59">
        <f>SUM(J1126:K1126)</f>
        <v>600000</v>
      </c>
    </row>
    <row r="1127" spans="2:12" x14ac:dyDescent="0.2">
      <c r="B1127" s="49"/>
      <c r="D1127" s="519"/>
      <c r="E1127" s="579"/>
      <c r="F1127" s="311"/>
      <c r="G1127" s="55" t="s">
        <v>37</v>
      </c>
      <c r="H1127" s="312"/>
      <c r="I1127" s="220" t="s">
        <v>38</v>
      </c>
      <c r="J1127" s="64">
        <f>SUM(J1126)</f>
        <v>600000</v>
      </c>
      <c r="K1127" s="60"/>
      <c r="L1127" s="59">
        <f>SUM(J1126:K1126)</f>
        <v>600000</v>
      </c>
    </row>
    <row r="1128" spans="2:12" x14ac:dyDescent="0.2">
      <c r="B1128" s="49"/>
      <c r="D1128" s="519"/>
      <c r="E1128" s="579"/>
      <c r="F1128" s="311"/>
      <c r="G1128" s="47"/>
      <c r="H1128" s="313"/>
      <c r="I1128" s="229" t="s">
        <v>710</v>
      </c>
      <c r="J1128" s="56">
        <f>SUM(J1127)</f>
        <v>600000</v>
      </c>
      <c r="K1128" s="60"/>
      <c r="L1128" s="60">
        <f>SUM(L1127)</f>
        <v>600000</v>
      </c>
    </row>
    <row r="1129" spans="2:12" x14ac:dyDescent="0.2">
      <c r="B1129" s="49"/>
      <c r="D1129" s="519"/>
      <c r="E1129" s="579"/>
      <c r="F1129" s="311"/>
      <c r="G1129" s="47"/>
      <c r="H1129" s="312"/>
      <c r="I1129" s="26"/>
      <c r="J1129" s="224"/>
      <c r="K1129" s="30"/>
      <c r="L1129" s="61"/>
    </row>
    <row r="1130" spans="2:12" ht="33.75" x14ac:dyDescent="0.2">
      <c r="B1130" s="49"/>
      <c r="D1130" s="519"/>
      <c r="E1130" s="581" t="s">
        <v>251</v>
      </c>
      <c r="F1130" s="391"/>
      <c r="G1130" s="334"/>
      <c r="H1130" s="393"/>
      <c r="I1130" s="401" t="s">
        <v>851</v>
      </c>
      <c r="J1130" s="261"/>
      <c r="K1130" s="326"/>
      <c r="L1130" s="57"/>
    </row>
    <row r="1131" spans="2:12" x14ac:dyDescent="0.2">
      <c r="B1131" s="49"/>
      <c r="D1131" s="519"/>
      <c r="E1131" s="579"/>
      <c r="F1131" s="311">
        <v>207</v>
      </c>
      <c r="G1131" s="47"/>
      <c r="H1131" s="311">
        <v>511</v>
      </c>
      <c r="I1131" s="220" t="s">
        <v>20</v>
      </c>
      <c r="J1131" s="64">
        <v>500000</v>
      </c>
      <c r="K1131" s="60"/>
      <c r="L1131" s="59">
        <f>SUM(J1131:K1131)</f>
        <v>500000</v>
      </c>
    </row>
    <row r="1132" spans="2:12" x14ac:dyDescent="0.2">
      <c r="B1132" s="49"/>
      <c r="D1132" s="519"/>
      <c r="E1132" s="579"/>
      <c r="F1132" s="311"/>
      <c r="G1132" s="55" t="s">
        <v>37</v>
      </c>
      <c r="H1132" s="312"/>
      <c r="I1132" s="220" t="s">
        <v>38</v>
      </c>
      <c r="J1132" s="64">
        <f>SUM(J1131)</f>
        <v>500000</v>
      </c>
      <c r="K1132" s="60"/>
      <c r="L1132" s="59">
        <f>SUM(J1131:K1131)</f>
        <v>500000</v>
      </c>
    </row>
    <row r="1133" spans="2:12" ht="15" x14ac:dyDescent="0.25">
      <c r="B1133" s="49"/>
      <c r="D1133" s="519"/>
      <c r="E1133" s="579"/>
      <c r="F1133" s="311"/>
      <c r="G1133" s="47"/>
      <c r="H1133" s="315"/>
      <c r="I1133" s="229" t="s">
        <v>710</v>
      </c>
      <c r="J1133" s="56">
        <f>SUM(J1132)</f>
        <v>500000</v>
      </c>
      <c r="K1133" s="60"/>
      <c r="L1133" s="60">
        <f>SUM(J1132:K1132)</f>
        <v>500000</v>
      </c>
    </row>
    <row r="1134" spans="2:12" x14ac:dyDescent="0.2">
      <c r="B1134" s="49"/>
      <c r="D1134" s="519"/>
      <c r="E1134" s="579"/>
      <c r="F1134" s="311"/>
      <c r="G1134" s="47"/>
      <c r="H1134" s="312"/>
      <c r="I1134" s="26"/>
      <c r="J1134" s="224"/>
      <c r="K1134" s="30"/>
      <c r="L1134" s="61"/>
    </row>
    <row r="1135" spans="2:12" ht="22.5" x14ac:dyDescent="0.2">
      <c r="B1135" s="49"/>
      <c r="D1135" s="519"/>
      <c r="E1135" s="581" t="s">
        <v>251</v>
      </c>
      <c r="F1135" s="391"/>
      <c r="G1135" s="334"/>
      <c r="H1135" s="393"/>
      <c r="I1135" s="401" t="s">
        <v>849</v>
      </c>
      <c r="J1135" s="261"/>
      <c r="K1135" s="326"/>
      <c r="L1135" s="57"/>
    </row>
    <row r="1136" spans="2:12" x14ac:dyDescent="0.2">
      <c r="B1136" s="49"/>
      <c r="D1136" s="519"/>
      <c r="E1136" s="579"/>
      <c r="F1136" s="311">
        <v>208</v>
      </c>
      <c r="G1136" s="47"/>
      <c r="H1136" s="311">
        <v>511</v>
      </c>
      <c r="I1136" s="220" t="s">
        <v>20</v>
      </c>
      <c r="J1136" s="64">
        <v>500000</v>
      </c>
      <c r="K1136" s="60"/>
      <c r="L1136" s="59">
        <f>SUM(J1136:K1136)</f>
        <v>500000</v>
      </c>
    </row>
    <row r="1137" spans="2:14" x14ac:dyDescent="0.2">
      <c r="B1137" s="49"/>
      <c r="D1137" s="519"/>
      <c r="E1137" s="579"/>
      <c r="F1137" s="311"/>
      <c r="G1137" s="55" t="s">
        <v>37</v>
      </c>
      <c r="H1137" s="312"/>
      <c r="I1137" s="220" t="s">
        <v>38</v>
      </c>
      <c r="J1137" s="64">
        <f>SUM(J1136)</f>
        <v>500000</v>
      </c>
      <c r="K1137" s="60"/>
      <c r="L1137" s="59">
        <f>SUM(J1136:K1136)</f>
        <v>500000</v>
      </c>
    </row>
    <row r="1138" spans="2:14" ht="15" x14ac:dyDescent="0.25">
      <c r="B1138" s="49"/>
      <c r="D1138" s="519"/>
      <c r="E1138" s="579"/>
      <c r="F1138" s="311"/>
      <c r="G1138" s="47"/>
      <c r="H1138" s="315"/>
      <c r="I1138" s="229" t="s">
        <v>704</v>
      </c>
      <c r="J1138" s="56">
        <f>SUM(J1137)</f>
        <v>500000</v>
      </c>
      <c r="K1138" s="60"/>
      <c r="L1138" s="60">
        <f>SUM(J1137:K1137)</f>
        <v>500000</v>
      </c>
    </row>
    <row r="1139" spans="2:14" x14ac:dyDescent="0.2">
      <c r="B1139" s="49"/>
      <c r="D1139" s="519"/>
      <c r="E1139" s="579"/>
      <c r="F1139" s="311"/>
      <c r="G1139" s="47"/>
      <c r="H1139" s="312"/>
      <c r="I1139" s="18"/>
      <c r="J1139" s="224"/>
      <c r="K1139" s="30"/>
      <c r="L1139" s="61"/>
    </row>
    <row r="1140" spans="2:14" ht="33.75" x14ac:dyDescent="0.2">
      <c r="B1140" s="49"/>
      <c r="D1140" s="519"/>
      <c r="E1140" s="581" t="s">
        <v>251</v>
      </c>
      <c r="F1140" s="391"/>
      <c r="G1140" s="334"/>
      <c r="H1140" s="393"/>
      <c r="I1140" s="401" t="s">
        <v>850</v>
      </c>
      <c r="J1140" s="261"/>
      <c r="K1140" s="326"/>
      <c r="L1140" s="57"/>
    </row>
    <row r="1141" spans="2:14" x14ac:dyDescent="0.2">
      <c r="B1141" s="49"/>
      <c r="D1141" s="519"/>
      <c r="E1141" s="579"/>
      <c r="F1141" s="311">
        <v>209</v>
      </c>
      <c r="G1141" s="47"/>
      <c r="H1141" s="311">
        <v>511</v>
      </c>
      <c r="I1141" s="220" t="s">
        <v>20</v>
      </c>
      <c r="J1141" s="64">
        <v>600000</v>
      </c>
      <c r="K1141" s="60"/>
      <c r="L1141" s="59">
        <f>SUM(J1141:K1141)</f>
        <v>600000</v>
      </c>
    </row>
    <row r="1142" spans="2:14" x14ac:dyDescent="0.2">
      <c r="B1142" s="49"/>
      <c r="D1142" s="519"/>
      <c r="E1142" s="579"/>
      <c r="F1142" s="311"/>
      <c r="G1142" s="55" t="s">
        <v>37</v>
      </c>
      <c r="H1142" s="312"/>
      <c r="I1142" s="220" t="s">
        <v>38</v>
      </c>
      <c r="J1142" s="64">
        <f>SUM(J1141)</f>
        <v>600000</v>
      </c>
      <c r="K1142" s="60"/>
      <c r="L1142" s="59">
        <f>SUM(J1141:K1141)</f>
        <v>600000</v>
      </c>
    </row>
    <row r="1143" spans="2:14" x14ac:dyDescent="0.2">
      <c r="B1143" s="49"/>
      <c r="D1143" s="519"/>
      <c r="E1143" s="579"/>
      <c r="F1143" s="311"/>
      <c r="G1143" s="47"/>
      <c r="H1143" s="313"/>
      <c r="I1143" s="229" t="s">
        <v>710</v>
      </c>
      <c r="J1143" s="56">
        <f>SUM(J1142)</f>
        <v>600000</v>
      </c>
      <c r="K1143" s="60"/>
      <c r="L1143" s="60">
        <f>SUM(J1142:K1142)</f>
        <v>600000</v>
      </c>
    </row>
    <row r="1144" spans="2:14" ht="15" x14ac:dyDescent="0.25">
      <c r="B1144" s="49"/>
      <c r="D1144" s="519"/>
      <c r="E1144" s="579"/>
      <c r="F1144" s="311"/>
      <c r="G1144" s="47"/>
      <c r="H1144" s="315"/>
      <c r="I1144" s="18"/>
      <c r="J1144" s="224"/>
      <c r="K1144" s="30"/>
      <c r="L1144" s="61"/>
    </row>
    <row r="1145" spans="2:14" x14ac:dyDescent="0.2">
      <c r="B1145" s="49"/>
      <c r="D1145" s="519"/>
      <c r="E1145" s="581" t="s">
        <v>251</v>
      </c>
      <c r="F1145" s="391"/>
      <c r="G1145" s="334"/>
      <c r="H1145" s="393"/>
      <c r="I1145" s="401" t="s">
        <v>959</v>
      </c>
      <c r="J1145" s="261"/>
      <c r="K1145" s="326"/>
      <c r="L1145" s="57"/>
    </row>
    <row r="1146" spans="2:14" x14ac:dyDescent="0.2">
      <c r="B1146" s="49"/>
      <c r="D1146" s="519"/>
      <c r="E1146" s="582"/>
      <c r="F1146" s="882" t="s">
        <v>986</v>
      </c>
      <c r="G1146" s="883"/>
      <c r="H1146" s="884" t="s">
        <v>46</v>
      </c>
      <c r="I1146" s="898" t="s">
        <v>10</v>
      </c>
      <c r="J1146" s="908">
        <v>1200000</v>
      </c>
      <c r="K1146" s="909"/>
      <c r="L1146" s="887">
        <f>SUM(J1146:K1146)</f>
        <v>1200000</v>
      </c>
    </row>
    <row r="1147" spans="2:14" x14ac:dyDescent="0.2">
      <c r="B1147" s="49"/>
      <c r="D1147" s="519"/>
      <c r="E1147" s="579"/>
      <c r="F1147" s="311">
        <v>210</v>
      </c>
      <c r="G1147" s="47"/>
      <c r="H1147" s="312" t="s">
        <v>270</v>
      </c>
      <c r="I1147" s="289" t="s">
        <v>20</v>
      </c>
      <c r="J1147" s="64">
        <f>54678924.4+960000</f>
        <v>55638924.399999999</v>
      </c>
      <c r="K1147" s="60"/>
      <c r="L1147" s="59">
        <f>SUM(J1147:K1147)</f>
        <v>55638924.399999999</v>
      </c>
      <c r="N1147" s="942"/>
    </row>
    <row r="1148" spans="2:14" x14ac:dyDescent="0.2">
      <c r="B1148" s="49"/>
      <c r="D1148" s="519"/>
      <c r="E1148" s="579"/>
      <c r="F1148" s="311"/>
      <c r="G1148" s="55" t="s">
        <v>37</v>
      </c>
      <c r="H1148" s="311"/>
      <c r="I1148" s="289" t="s">
        <v>38</v>
      </c>
      <c r="J1148" s="64">
        <f>SUM(J1150-J1149)</f>
        <v>29999462.199999999</v>
      </c>
      <c r="K1148" s="60"/>
      <c r="L1148" s="59">
        <f t="shared" ref="L1148:L1149" si="61">SUM(J1148:K1148)</f>
        <v>29999462.199999999</v>
      </c>
    </row>
    <row r="1149" spans="2:14" x14ac:dyDescent="0.2">
      <c r="B1149" s="49"/>
      <c r="D1149" s="519"/>
      <c r="E1149" s="579"/>
      <c r="F1149" s="311"/>
      <c r="G1149" s="55" t="s">
        <v>113</v>
      </c>
      <c r="H1149" s="312"/>
      <c r="I1149" s="289" t="s">
        <v>418</v>
      </c>
      <c r="J1149" s="64">
        <v>26839462.199999999</v>
      </c>
      <c r="K1149" s="60"/>
      <c r="L1149" s="59">
        <f t="shared" si="61"/>
        <v>26839462.199999999</v>
      </c>
    </row>
    <row r="1150" spans="2:14" ht="15" x14ac:dyDescent="0.25">
      <c r="B1150" s="49"/>
      <c r="D1150" s="519"/>
      <c r="E1150" s="579"/>
      <c r="F1150" s="311"/>
      <c r="G1150" s="47"/>
      <c r="H1150" s="315"/>
      <c r="I1150" s="300" t="s">
        <v>710</v>
      </c>
      <c r="J1150" s="56">
        <f>SUM(J1146:J1147)</f>
        <v>56838924.399999999</v>
      </c>
      <c r="K1150" s="60"/>
      <c r="L1150" s="60">
        <f>SUM(J1150:K1150)</f>
        <v>56838924.399999999</v>
      </c>
    </row>
    <row r="1151" spans="2:14" x14ac:dyDescent="0.2">
      <c r="B1151" s="49"/>
      <c r="D1151" s="519"/>
      <c r="E1151" s="579"/>
      <c r="F1151" s="311"/>
      <c r="G1151" s="47"/>
      <c r="H1151" s="312"/>
      <c r="I1151" s="18"/>
      <c r="J1151" s="264"/>
      <c r="K1151" s="30"/>
      <c r="L1151" s="61"/>
    </row>
    <row r="1152" spans="2:14" ht="21" customHeight="1" x14ac:dyDescent="0.2">
      <c r="B1152" s="49"/>
      <c r="D1152" s="519"/>
      <c r="E1152" s="581" t="s">
        <v>251</v>
      </c>
      <c r="F1152" s="391"/>
      <c r="G1152" s="334"/>
      <c r="H1152" s="393"/>
      <c r="I1152" s="401" t="s">
        <v>896</v>
      </c>
      <c r="J1152" s="261"/>
      <c r="K1152" s="326"/>
      <c r="L1152" s="57"/>
    </row>
    <row r="1153" spans="2:19" x14ac:dyDescent="0.2">
      <c r="B1153" s="49"/>
      <c r="D1153" s="519"/>
      <c r="E1153" s="579"/>
      <c r="F1153" s="311">
        <v>211</v>
      </c>
      <c r="G1153" s="47"/>
      <c r="H1153" s="311">
        <v>511</v>
      </c>
      <c r="I1153" s="289" t="s">
        <v>20</v>
      </c>
      <c r="J1153" s="64">
        <v>360000</v>
      </c>
      <c r="K1153" s="60"/>
      <c r="L1153" s="59">
        <f>SUM(J1153:K1153)</f>
        <v>360000</v>
      </c>
    </row>
    <row r="1154" spans="2:19" x14ac:dyDescent="0.2">
      <c r="B1154" s="49"/>
      <c r="D1154" s="519"/>
      <c r="E1154" s="579"/>
      <c r="F1154" s="311"/>
      <c r="G1154" s="55" t="s">
        <v>37</v>
      </c>
      <c r="H1154" s="312"/>
      <c r="I1154" s="289" t="s">
        <v>38</v>
      </c>
      <c r="J1154" s="64">
        <f>SUM(J1153)</f>
        <v>360000</v>
      </c>
      <c r="K1154" s="60"/>
      <c r="L1154" s="59">
        <f>SUM(J1153:K1153)</f>
        <v>360000</v>
      </c>
    </row>
    <row r="1155" spans="2:19" ht="15" x14ac:dyDescent="0.25">
      <c r="B1155" s="49"/>
      <c r="D1155" s="519"/>
      <c r="E1155" s="579"/>
      <c r="F1155" s="311"/>
      <c r="G1155" s="47"/>
      <c r="H1155" s="315"/>
      <c r="I1155" s="229" t="s">
        <v>710</v>
      </c>
      <c r="J1155" s="56">
        <f>SUM(J1154)</f>
        <v>360000</v>
      </c>
      <c r="K1155" s="60"/>
      <c r="L1155" s="60">
        <f>SUM(J1154:K1154)</f>
        <v>360000</v>
      </c>
    </row>
    <row r="1156" spans="2:19" x14ac:dyDescent="0.2">
      <c r="B1156" s="49"/>
      <c r="D1156" s="519"/>
      <c r="E1156" s="579"/>
      <c r="F1156" s="311"/>
      <c r="G1156" s="47"/>
      <c r="H1156" s="312"/>
      <c r="I1156" s="26"/>
      <c r="J1156" s="224"/>
      <c r="K1156" s="30"/>
      <c r="L1156" s="61"/>
    </row>
    <row r="1157" spans="2:19" ht="22.5" x14ac:dyDescent="0.2">
      <c r="B1157" s="49"/>
      <c r="D1157" s="519"/>
      <c r="E1157" s="969" t="s">
        <v>251</v>
      </c>
      <c r="F1157" s="970"/>
      <c r="G1157" s="971"/>
      <c r="H1157" s="972"/>
      <c r="I1157" s="987" t="s">
        <v>848</v>
      </c>
      <c r="J1157" s="988"/>
      <c r="K1157" s="989"/>
      <c r="L1157" s="990"/>
      <c r="M1157" s="991"/>
      <c r="N1157" s="942"/>
      <c r="O1157" s="991"/>
      <c r="P1157" s="943"/>
      <c r="Q1157" s="992"/>
      <c r="R1157" s="992"/>
      <c r="S1157" s="992"/>
    </row>
    <row r="1158" spans="2:19" x14ac:dyDescent="0.2">
      <c r="B1158" s="49"/>
      <c r="D1158" s="519"/>
      <c r="E1158" s="976"/>
      <c r="F1158" s="977" t="s">
        <v>985</v>
      </c>
      <c r="G1158" s="978"/>
      <c r="H1158" s="979" t="s">
        <v>46</v>
      </c>
      <c r="I1158" s="980" t="s">
        <v>10</v>
      </c>
      <c r="J1158" s="981">
        <f>200000+120000</f>
        <v>320000</v>
      </c>
      <c r="K1158" s="982"/>
      <c r="L1158" s="983">
        <f>SUM(J1158:K1158)</f>
        <v>320000</v>
      </c>
      <c r="M1158" s="991"/>
      <c r="N1158" s="942"/>
      <c r="O1158" s="991"/>
      <c r="P1158" s="943"/>
      <c r="Q1158" s="992"/>
      <c r="R1158" s="992"/>
      <c r="S1158" s="992"/>
    </row>
    <row r="1159" spans="2:19" x14ac:dyDescent="0.2">
      <c r="B1159" s="49"/>
      <c r="D1159" s="519"/>
      <c r="E1159" s="834"/>
      <c r="F1159" s="835">
        <v>212</v>
      </c>
      <c r="G1159" s="836"/>
      <c r="H1159" s="835">
        <v>511</v>
      </c>
      <c r="I1159" s="935" t="s">
        <v>20</v>
      </c>
      <c r="J1159" s="937">
        <f>12250000+2580000+1000000</f>
        <v>15830000</v>
      </c>
      <c r="K1159" s="214"/>
      <c r="L1159" s="214">
        <f>SUM(J1159:K1159)</f>
        <v>15830000</v>
      </c>
      <c r="M1159" s="991"/>
      <c r="N1159" s="942"/>
      <c r="O1159" s="991"/>
      <c r="P1159" s="943"/>
      <c r="Q1159" s="992"/>
      <c r="R1159" s="992"/>
      <c r="S1159" s="992"/>
    </row>
    <row r="1160" spans="2:19" x14ac:dyDescent="0.2">
      <c r="B1160" s="49"/>
      <c r="D1160" s="519"/>
      <c r="E1160" s="834"/>
      <c r="F1160" s="835"/>
      <c r="G1160" s="984" t="s">
        <v>37</v>
      </c>
      <c r="H1160" s="837"/>
      <c r="I1160" s="935" t="s">
        <v>38</v>
      </c>
      <c r="J1160" s="937">
        <f>SUM(J1158:J1159)</f>
        <v>16150000</v>
      </c>
      <c r="K1160" s="936"/>
      <c r="L1160" s="214">
        <f>SUM(J1160:K1160)</f>
        <v>16150000</v>
      </c>
      <c r="M1160" s="991"/>
      <c r="N1160" s="942"/>
      <c r="O1160" s="991"/>
      <c r="P1160" s="943"/>
      <c r="Q1160" s="992"/>
      <c r="R1160" s="992"/>
      <c r="S1160" s="992"/>
    </row>
    <row r="1161" spans="2:19" ht="15" x14ac:dyDescent="0.25">
      <c r="B1161" s="49"/>
      <c r="D1161" s="519"/>
      <c r="E1161" s="834"/>
      <c r="F1161" s="835"/>
      <c r="G1161" s="836"/>
      <c r="H1161" s="985"/>
      <c r="I1161" s="986" t="s">
        <v>710</v>
      </c>
      <c r="J1161" s="993">
        <f>SUM(J1160)</f>
        <v>16150000</v>
      </c>
      <c r="K1161" s="936"/>
      <c r="L1161" s="936">
        <f>SUM(J1160:K1160)</f>
        <v>16150000</v>
      </c>
      <c r="M1161" s="991"/>
      <c r="N1161" s="942"/>
      <c r="O1161" s="991"/>
      <c r="P1161" s="943"/>
      <c r="Q1161" s="992"/>
      <c r="R1161" s="992"/>
      <c r="S1161" s="992"/>
    </row>
    <row r="1162" spans="2:19" x14ac:dyDescent="0.2">
      <c r="B1162" s="49"/>
      <c r="D1162" s="519"/>
      <c r="E1162" s="579"/>
      <c r="F1162" s="311"/>
      <c r="G1162" s="47"/>
      <c r="H1162" s="312"/>
      <c r="I1162" s="18"/>
      <c r="J1162" s="224"/>
      <c r="K1162" s="30"/>
      <c r="L1162" s="61"/>
    </row>
    <row r="1163" spans="2:19" ht="24" customHeight="1" x14ac:dyDescent="0.2">
      <c r="B1163" s="49"/>
      <c r="D1163" s="519"/>
      <c r="E1163" s="969" t="s">
        <v>251</v>
      </c>
      <c r="F1163" s="970"/>
      <c r="G1163" s="971"/>
      <c r="H1163" s="972"/>
      <c r="I1163" s="987" t="s">
        <v>847</v>
      </c>
      <c r="J1163" s="988"/>
      <c r="K1163" s="989"/>
      <c r="L1163" s="990"/>
    </row>
    <row r="1164" spans="2:19" ht="15" customHeight="1" x14ac:dyDescent="0.2">
      <c r="B1164" s="49"/>
      <c r="D1164" s="519"/>
      <c r="E1164" s="994"/>
      <c r="F1164" s="977" t="s">
        <v>1063</v>
      </c>
      <c r="G1164" s="978"/>
      <c r="H1164" s="979" t="s">
        <v>46</v>
      </c>
      <c r="I1164" s="980" t="s">
        <v>10</v>
      </c>
      <c r="J1164" s="937">
        <f>120000</f>
        <v>120000</v>
      </c>
      <c r="K1164" s="989"/>
      <c r="L1164" s="214">
        <f>SUM(J1164:K1164)</f>
        <v>120000</v>
      </c>
    </row>
    <row r="1165" spans="2:19" ht="14.25" customHeight="1" x14ac:dyDescent="0.2">
      <c r="B1165" s="49"/>
      <c r="D1165" s="519"/>
      <c r="E1165" s="834"/>
      <c r="F1165" s="835">
        <v>213</v>
      </c>
      <c r="G1165" s="836"/>
      <c r="H1165" s="835">
        <v>511</v>
      </c>
      <c r="I1165" s="935" t="s">
        <v>20</v>
      </c>
      <c r="J1165" s="937">
        <f>20340000+480000</f>
        <v>20820000</v>
      </c>
      <c r="K1165" s="214"/>
      <c r="L1165" s="214">
        <f>SUM(J1165:K1165)</f>
        <v>20820000</v>
      </c>
      <c r="N1165" s="942"/>
    </row>
    <row r="1166" spans="2:19" ht="15" customHeight="1" x14ac:dyDescent="0.2">
      <c r="B1166" s="49"/>
      <c r="D1166" s="519"/>
      <c r="E1166" s="834"/>
      <c r="F1166" s="835"/>
      <c r="G1166" s="984" t="s">
        <v>37</v>
      </c>
      <c r="H1166" s="837"/>
      <c r="I1166" s="935" t="s">
        <v>38</v>
      </c>
      <c r="J1166" s="937">
        <f>SUM(J1164:J1165)</f>
        <v>20940000</v>
      </c>
      <c r="K1166" s="936"/>
      <c r="L1166" s="214">
        <f>SUM(J1165:K1165)</f>
        <v>20820000</v>
      </c>
    </row>
    <row r="1167" spans="2:19" ht="14.25" customHeight="1" x14ac:dyDescent="0.25">
      <c r="B1167" s="49"/>
      <c r="D1167" s="519"/>
      <c r="E1167" s="834"/>
      <c r="F1167" s="835"/>
      <c r="G1167" s="836"/>
      <c r="H1167" s="985"/>
      <c r="I1167" s="986" t="s">
        <v>710</v>
      </c>
      <c r="J1167" s="993">
        <f>SUM(J1166)</f>
        <v>20940000</v>
      </c>
      <c r="K1167" s="936"/>
      <c r="L1167" s="936">
        <f>SUM(J1166:K1166)</f>
        <v>20940000</v>
      </c>
    </row>
    <row r="1168" spans="2:19" ht="21" customHeight="1" x14ac:dyDescent="0.2">
      <c r="B1168" s="49"/>
      <c r="D1168" s="519"/>
      <c r="E1168" s="579"/>
      <c r="F1168" s="311"/>
      <c r="G1168" s="47"/>
      <c r="H1168" s="312"/>
      <c r="I1168" s="18"/>
      <c r="J1168" s="224"/>
      <c r="K1168" s="30"/>
      <c r="L1168" s="61"/>
    </row>
    <row r="1169" spans="2:18" ht="33.75" x14ac:dyDescent="0.2">
      <c r="B1169" s="49"/>
      <c r="D1169" s="519"/>
      <c r="E1169" s="581" t="s">
        <v>251</v>
      </c>
      <c r="F1169" s="391"/>
      <c r="G1169" s="334"/>
      <c r="H1169" s="393"/>
      <c r="I1169" s="339" t="s">
        <v>845</v>
      </c>
      <c r="J1169" s="259"/>
      <c r="K1169" s="80"/>
      <c r="L1169" s="260"/>
      <c r="M1169" s="930"/>
    </row>
    <row r="1170" spans="2:18" x14ac:dyDescent="0.2">
      <c r="B1170" s="49"/>
      <c r="D1170" s="519"/>
      <c r="E1170" s="579"/>
      <c r="F1170" s="311">
        <v>214</v>
      </c>
      <c r="G1170" s="47"/>
      <c r="H1170" s="311">
        <v>511</v>
      </c>
      <c r="I1170" s="220" t="s">
        <v>20</v>
      </c>
      <c r="J1170" s="64">
        <v>4200000</v>
      </c>
      <c r="K1170" s="59"/>
      <c r="L1170" s="59">
        <f>SUM(J1170:K1170)</f>
        <v>4200000</v>
      </c>
      <c r="M1170" s="930"/>
    </row>
    <row r="1171" spans="2:18" x14ac:dyDescent="0.2">
      <c r="B1171" s="49"/>
      <c r="D1171" s="519"/>
      <c r="E1171" s="579"/>
      <c r="F1171" s="311"/>
      <c r="G1171" s="55" t="s">
        <v>37</v>
      </c>
      <c r="H1171" s="312"/>
      <c r="I1171" s="220" t="s">
        <v>38</v>
      </c>
      <c r="J1171" s="64">
        <f>SUM(J1170:J1170)</f>
        <v>4200000</v>
      </c>
      <c r="K1171" s="60"/>
      <c r="L1171" s="59">
        <f>SUM(J1170:K1170)</f>
        <v>4200000</v>
      </c>
    </row>
    <row r="1172" spans="2:18" ht="15" x14ac:dyDescent="0.25">
      <c r="B1172" s="49"/>
      <c r="D1172" s="519"/>
      <c r="E1172" s="579"/>
      <c r="F1172" s="311"/>
      <c r="G1172" s="47"/>
      <c r="H1172" s="315"/>
      <c r="I1172" s="229" t="s">
        <v>710</v>
      </c>
      <c r="J1172" s="56">
        <f>SUM(J1171)</f>
        <v>4200000</v>
      </c>
      <c r="K1172" s="60"/>
      <c r="L1172" s="60">
        <f>SUM(J1171:K1171)</f>
        <v>4200000</v>
      </c>
    </row>
    <row r="1173" spans="2:18" x14ac:dyDescent="0.2">
      <c r="B1173" s="49"/>
      <c r="D1173" s="519"/>
      <c r="E1173" s="579"/>
      <c r="F1173" s="311"/>
      <c r="G1173" s="47"/>
      <c r="H1173" s="312"/>
      <c r="I1173" s="18"/>
      <c r="J1173" s="224"/>
      <c r="K1173" s="30"/>
      <c r="L1173" s="61"/>
    </row>
    <row r="1174" spans="2:18" ht="22.5" x14ac:dyDescent="0.2">
      <c r="B1174" s="49"/>
      <c r="D1174" s="519"/>
      <c r="E1174" s="581" t="s">
        <v>251</v>
      </c>
      <c r="F1174" s="391"/>
      <c r="G1174" s="334"/>
      <c r="H1174" s="393"/>
      <c r="I1174" s="339" t="s">
        <v>846</v>
      </c>
      <c r="J1174" s="259"/>
      <c r="K1174" s="80"/>
      <c r="L1174" s="260"/>
    </row>
    <row r="1175" spans="2:18" x14ac:dyDescent="0.2">
      <c r="B1175" s="49"/>
      <c r="D1175" s="519"/>
      <c r="E1175" s="582"/>
      <c r="F1175" s="882" t="s">
        <v>984</v>
      </c>
      <c r="G1175" s="883"/>
      <c r="H1175" s="884" t="s">
        <v>46</v>
      </c>
      <c r="I1175" s="898" t="s">
        <v>10</v>
      </c>
      <c r="J1175" s="908">
        <v>200000</v>
      </c>
      <c r="K1175" s="909"/>
      <c r="L1175" s="887">
        <f>SUM(J1175:K1175)</f>
        <v>200000</v>
      </c>
    </row>
    <row r="1176" spans="2:18" ht="15" customHeight="1" x14ac:dyDescent="0.2">
      <c r="B1176" s="49"/>
      <c r="D1176" s="519"/>
      <c r="E1176" s="579"/>
      <c r="F1176" s="311">
        <v>215</v>
      </c>
      <c r="G1176" s="47"/>
      <c r="H1176" s="311">
        <v>511</v>
      </c>
      <c r="I1176" s="220" t="s">
        <v>20</v>
      </c>
      <c r="J1176" s="64">
        <v>15300000</v>
      </c>
      <c r="K1176" s="59"/>
      <c r="L1176" s="59">
        <f>SUM(J1176:K1176)</f>
        <v>15300000</v>
      </c>
    </row>
    <row r="1177" spans="2:18" x14ac:dyDescent="0.2">
      <c r="B1177" s="49"/>
      <c r="D1177" s="519"/>
      <c r="E1177" s="579"/>
      <c r="F1177" s="311"/>
      <c r="G1177" s="55" t="s">
        <v>37</v>
      </c>
      <c r="H1177" s="312"/>
      <c r="I1177" s="220" t="s">
        <v>38</v>
      </c>
      <c r="J1177" s="64">
        <f>SUM(J1175:J1176)</f>
        <v>15500000</v>
      </c>
      <c r="K1177" s="60"/>
      <c r="L1177" s="59">
        <f>SUM(J1177:K1177)</f>
        <v>15500000</v>
      </c>
    </row>
    <row r="1178" spans="2:18" ht="15" x14ac:dyDescent="0.25">
      <c r="B1178" s="49"/>
      <c r="D1178" s="519"/>
      <c r="E1178" s="579"/>
      <c r="F1178" s="311"/>
      <c r="G1178" s="47"/>
      <c r="H1178" s="315"/>
      <c r="I1178" s="229" t="s">
        <v>710</v>
      </c>
      <c r="J1178" s="56">
        <f>SUM(J1177)</f>
        <v>15500000</v>
      </c>
      <c r="K1178" s="60"/>
      <c r="L1178" s="60">
        <f>SUM(J1177:K1177)</f>
        <v>15500000</v>
      </c>
    </row>
    <row r="1179" spans="2:18" x14ac:dyDescent="0.2">
      <c r="B1179" s="49"/>
      <c r="D1179" s="519"/>
      <c r="E1179" s="579"/>
      <c r="F1179" s="311"/>
      <c r="G1179" s="47"/>
      <c r="H1179" s="312"/>
      <c r="I1179" s="26"/>
      <c r="J1179" s="224"/>
      <c r="K1179" s="30"/>
      <c r="L1179" s="61"/>
    </row>
    <row r="1180" spans="2:18" ht="45" x14ac:dyDescent="0.2">
      <c r="B1180" s="49"/>
      <c r="D1180" s="519"/>
      <c r="E1180" s="969" t="s">
        <v>251</v>
      </c>
      <c r="F1180" s="970"/>
      <c r="G1180" s="971"/>
      <c r="H1180" s="972"/>
      <c r="I1180" s="987" t="s">
        <v>958</v>
      </c>
      <c r="J1180" s="988"/>
      <c r="K1180" s="989"/>
      <c r="L1180" s="990"/>
      <c r="M1180" s="991"/>
      <c r="N1180" s="942"/>
      <c r="O1180" s="991"/>
      <c r="P1180" s="943"/>
      <c r="Q1180" s="992"/>
      <c r="R1180" s="992"/>
    </row>
    <row r="1181" spans="2:18" x14ac:dyDescent="0.2">
      <c r="B1181" s="49"/>
      <c r="D1181" s="519"/>
      <c r="E1181" s="976"/>
      <c r="F1181" s="977" t="s">
        <v>1025</v>
      </c>
      <c r="G1181" s="978"/>
      <c r="H1181" s="979" t="s">
        <v>46</v>
      </c>
      <c r="I1181" s="980" t="s">
        <v>10</v>
      </c>
      <c r="J1181" s="981">
        <f>200000</f>
        <v>200000</v>
      </c>
      <c r="K1181" s="982"/>
      <c r="L1181" s="983">
        <f>SUM(J1181:K1181)</f>
        <v>200000</v>
      </c>
      <c r="M1181" s="991"/>
      <c r="N1181" s="942"/>
      <c r="O1181" s="991"/>
      <c r="P1181" s="943"/>
      <c r="Q1181" s="992"/>
      <c r="R1181" s="992"/>
    </row>
    <row r="1182" spans="2:18" x14ac:dyDescent="0.2">
      <c r="B1182" s="49"/>
      <c r="D1182" s="519"/>
      <c r="E1182" s="834"/>
      <c r="F1182" s="835">
        <v>216</v>
      </c>
      <c r="G1182" s="836"/>
      <c r="H1182" s="835">
        <v>511</v>
      </c>
      <c r="I1182" s="935" t="s">
        <v>20</v>
      </c>
      <c r="J1182" s="937">
        <f>30757364.88+600000</f>
        <v>31357364.879999999</v>
      </c>
      <c r="K1182" s="214"/>
      <c r="L1182" s="214">
        <f>SUM(J1182:K1182)</f>
        <v>31357364.879999999</v>
      </c>
      <c r="M1182" s="991"/>
      <c r="N1182" s="942"/>
      <c r="O1182" s="991"/>
      <c r="P1182" s="943"/>
      <c r="Q1182" s="992"/>
      <c r="R1182" s="992"/>
    </row>
    <row r="1183" spans="2:18" ht="13.5" customHeight="1" x14ac:dyDescent="0.2">
      <c r="B1183" s="49"/>
      <c r="D1183" s="519"/>
      <c r="E1183" s="834"/>
      <c r="F1183" s="835"/>
      <c r="G1183" s="984" t="s">
        <v>37</v>
      </c>
      <c r="H1183" s="837"/>
      <c r="I1183" s="935" t="s">
        <v>38</v>
      </c>
      <c r="J1183" s="937">
        <f>SUM(J1181:J1182)</f>
        <v>31557364.879999999</v>
      </c>
      <c r="K1183" s="936"/>
      <c r="L1183" s="214">
        <f>SUM(J1182:K1182)</f>
        <v>31357364.879999999</v>
      </c>
      <c r="M1183" s="991"/>
      <c r="N1183" s="942"/>
      <c r="O1183" s="991"/>
      <c r="P1183" s="943"/>
      <c r="Q1183" s="992"/>
      <c r="R1183" s="992"/>
    </row>
    <row r="1184" spans="2:18" ht="15" x14ac:dyDescent="0.25">
      <c r="B1184" s="49"/>
      <c r="D1184" s="519"/>
      <c r="E1184" s="834"/>
      <c r="F1184" s="835"/>
      <c r="G1184" s="836"/>
      <c r="H1184" s="985"/>
      <c r="I1184" s="986" t="s">
        <v>710</v>
      </c>
      <c r="J1184" s="993">
        <f>SUM(J1183)</f>
        <v>31557364.879999999</v>
      </c>
      <c r="K1184" s="936"/>
      <c r="L1184" s="936">
        <f>SUM(J1183:K1183)</f>
        <v>31557364.879999999</v>
      </c>
      <c r="M1184" s="991"/>
      <c r="N1184" s="995"/>
      <c r="O1184" s="991"/>
      <c r="P1184" s="943"/>
      <c r="Q1184" s="992"/>
      <c r="R1184" s="992"/>
    </row>
    <row r="1185" spans="2:14" x14ac:dyDescent="0.2">
      <c r="B1185" s="49"/>
      <c r="D1185" s="519"/>
      <c r="E1185" s="579"/>
      <c r="F1185" s="311"/>
      <c r="G1185" s="47"/>
      <c r="H1185" s="312"/>
      <c r="I1185" s="18"/>
      <c r="J1185" s="224"/>
      <c r="K1185" s="30"/>
      <c r="L1185" s="61"/>
    </row>
    <row r="1186" spans="2:14" ht="33.75" x14ac:dyDescent="0.2">
      <c r="B1186" s="49"/>
      <c r="D1186" s="519"/>
      <c r="E1186" s="581" t="s">
        <v>251</v>
      </c>
      <c r="F1186" s="391"/>
      <c r="G1186" s="334"/>
      <c r="H1186" s="393"/>
      <c r="I1186" s="339" t="s">
        <v>1026</v>
      </c>
      <c r="J1186" s="259"/>
      <c r="K1186" s="80"/>
      <c r="L1186" s="260"/>
    </row>
    <row r="1187" spans="2:14" x14ac:dyDescent="0.2">
      <c r="B1187" s="49"/>
      <c r="D1187" s="519"/>
      <c r="E1187" s="579"/>
      <c r="F1187" s="311">
        <v>217</v>
      </c>
      <c r="G1187" s="47"/>
      <c r="H1187" s="312" t="s">
        <v>270</v>
      </c>
      <c r="I1187" s="220" t="s">
        <v>20</v>
      </c>
      <c r="J1187" s="64">
        <v>2060000</v>
      </c>
      <c r="K1187" s="59"/>
      <c r="L1187" s="59">
        <f>SUM(J1187:K1187)</f>
        <v>2060000</v>
      </c>
      <c r="N1187" s="942"/>
    </row>
    <row r="1188" spans="2:14" ht="14.25" customHeight="1" x14ac:dyDescent="0.2">
      <c r="B1188" s="49"/>
      <c r="D1188" s="519"/>
      <c r="E1188" s="579"/>
      <c r="F1188" s="311"/>
      <c r="G1188" s="55" t="s">
        <v>37</v>
      </c>
      <c r="H1188" s="311"/>
      <c r="I1188" s="220" t="s">
        <v>38</v>
      </c>
      <c r="J1188" s="64">
        <f>SUM(J1187:J1187)</f>
        <v>2060000</v>
      </c>
      <c r="K1188" s="60"/>
      <c r="L1188" s="59">
        <f>SUM(J1187:K1187)</f>
        <v>2060000</v>
      </c>
    </row>
    <row r="1189" spans="2:14" x14ac:dyDescent="0.2">
      <c r="B1189" s="49"/>
      <c r="D1189" s="519"/>
      <c r="E1189" s="579"/>
      <c r="F1189" s="311"/>
      <c r="G1189" s="47"/>
      <c r="H1189" s="312"/>
      <c r="I1189" s="229" t="s">
        <v>710</v>
      </c>
      <c r="J1189" s="56">
        <f>SUM(J1188)</f>
        <v>2060000</v>
      </c>
      <c r="K1189" s="60"/>
      <c r="L1189" s="60">
        <f>SUM(J1188:K1188)</f>
        <v>2060000</v>
      </c>
    </row>
    <row r="1190" spans="2:14" ht="15" x14ac:dyDescent="0.25">
      <c r="B1190" s="49"/>
      <c r="D1190" s="519"/>
      <c r="E1190" s="579"/>
      <c r="F1190" s="311"/>
      <c r="G1190" s="47"/>
      <c r="H1190" s="315"/>
      <c r="I1190" s="18"/>
      <c r="J1190" s="224"/>
      <c r="K1190" s="30"/>
      <c r="L1190" s="61"/>
    </row>
    <row r="1191" spans="2:14" x14ac:dyDescent="0.2">
      <c r="B1191" s="49"/>
      <c r="D1191" s="519"/>
      <c r="E1191" s="579"/>
      <c r="F1191" s="311"/>
      <c r="G1191" s="47"/>
      <c r="H1191" s="312"/>
      <c r="I1191" s="18"/>
      <c r="J1191" s="224"/>
      <c r="K1191" s="30"/>
      <c r="L1191" s="61"/>
    </row>
    <row r="1192" spans="2:14" ht="22.5" x14ac:dyDescent="0.2">
      <c r="B1192" s="49"/>
      <c r="D1192" s="519"/>
      <c r="E1192" s="581" t="s">
        <v>251</v>
      </c>
      <c r="F1192" s="391"/>
      <c r="G1192" s="334"/>
      <c r="H1192" s="393"/>
      <c r="I1192" s="339" t="s">
        <v>844</v>
      </c>
      <c r="J1192" s="259"/>
      <c r="K1192" s="80"/>
      <c r="L1192" s="260"/>
    </row>
    <row r="1193" spans="2:14" x14ac:dyDescent="0.2">
      <c r="B1193" s="49"/>
      <c r="D1193" s="519"/>
      <c r="E1193" s="579"/>
      <c r="F1193" s="311">
        <v>218</v>
      </c>
      <c r="G1193" s="47"/>
      <c r="H1193" s="311">
        <v>511</v>
      </c>
      <c r="I1193" s="220" t="s">
        <v>20</v>
      </c>
      <c r="J1193" s="64">
        <v>3480000</v>
      </c>
      <c r="K1193" s="59"/>
      <c r="L1193" s="59">
        <f>SUM(J1193:K1193)</f>
        <v>3480000</v>
      </c>
      <c r="N1193" s="942"/>
    </row>
    <row r="1194" spans="2:14" x14ac:dyDescent="0.2">
      <c r="B1194" s="49"/>
      <c r="D1194" s="519"/>
      <c r="E1194" s="579"/>
      <c r="F1194" s="311"/>
      <c r="G1194" s="55" t="s">
        <v>37</v>
      </c>
      <c r="H1194" s="312"/>
      <c r="I1194" s="220" t="s">
        <v>38</v>
      </c>
      <c r="J1194" s="64">
        <f>SUM(J1193:J1193)</f>
        <v>3480000</v>
      </c>
      <c r="K1194" s="60"/>
      <c r="L1194" s="59">
        <f>SUM(J1193:K1193)</f>
        <v>3480000</v>
      </c>
    </row>
    <row r="1195" spans="2:14" ht="15" x14ac:dyDescent="0.25">
      <c r="B1195" s="49"/>
      <c r="D1195" s="519"/>
      <c r="E1195" s="579"/>
      <c r="F1195" s="311"/>
      <c r="G1195" s="47"/>
      <c r="H1195" s="315"/>
      <c r="I1195" s="229" t="s">
        <v>710</v>
      </c>
      <c r="J1195" s="56">
        <f>SUM(J1194)</f>
        <v>3480000</v>
      </c>
      <c r="K1195" s="60"/>
      <c r="L1195" s="60">
        <f>SUM(J1194:K1194)</f>
        <v>3480000</v>
      </c>
    </row>
    <row r="1196" spans="2:14" x14ac:dyDescent="0.2">
      <c r="B1196" s="49"/>
      <c r="D1196" s="519"/>
      <c r="E1196" s="579"/>
      <c r="F1196" s="311"/>
      <c r="G1196" s="47"/>
      <c r="H1196" s="312"/>
      <c r="I1196" s="18"/>
      <c r="J1196" s="224"/>
      <c r="K1196" s="30"/>
      <c r="L1196" s="61"/>
    </row>
    <row r="1197" spans="2:14" ht="22.5" x14ac:dyDescent="0.2">
      <c r="B1197" s="49"/>
      <c r="D1197" s="519"/>
      <c r="E1197" s="581" t="s">
        <v>251</v>
      </c>
      <c r="F1197" s="391"/>
      <c r="G1197" s="334"/>
      <c r="H1197" s="393"/>
      <c r="I1197" s="401" t="s">
        <v>843</v>
      </c>
      <c r="J1197" s="261"/>
      <c r="K1197" s="326"/>
      <c r="L1197" s="57"/>
    </row>
    <row r="1198" spans="2:14" x14ac:dyDescent="0.2">
      <c r="B1198" s="49"/>
      <c r="D1198" s="519"/>
      <c r="E1198" s="579"/>
      <c r="F1198" s="311">
        <v>219</v>
      </c>
      <c r="G1198" s="47"/>
      <c r="H1198" s="311">
        <v>511</v>
      </c>
      <c r="I1198" s="220" t="s">
        <v>20</v>
      </c>
      <c r="J1198" s="64">
        <v>600000</v>
      </c>
      <c r="K1198" s="59"/>
      <c r="L1198" s="59">
        <f>SUM(J1198:K1198)</f>
        <v>600000</v>
      </c>
    </row>
    <row r="1199" spans="2:14" x14ac:dyDescent="0.2">
      <c r="B1199" s="49"/>
      <c r="D1199" s="519"/>
      <c r="E1199" s="579"/>
      <c r="F1199" s="311"/>
      <c r="G1199" s="55" t="s">
        <v>37</v>
      </c>
      <c r="H1199" s="312"/>
      <c r="I1199" s="220" t="s">
        <v>38</v>
      </c>
      <c r="J1199" s="64">
        <f>SUM(J1198)</f>
        <v>600000</v>
      </c>
      <c r="K1199" s="60"/>
      <c r="L1199" s="59">
        <f>SUM(J1198:K1198)</f>
        <v>600000</v>
      </c>
    </row>
    <row r="1200" spans="2:14" ht="15" x14ac:dyDescent="0.25">
      <c r="B1200" s="49"/>
      <c r="D1200" s="519"/>
      <c r="E1200" s="579"/>
      <c r="F1200" s="311"/>
      <c r="G1200" s="47"/>
      <c r="H1200" s="315"/>
      <c r="I1200" s="229" t="s">
        <v>710</v>
      </c>
      <c r="J1200" s="56">
        <f>SUM(J1199)</f>
        <v>600000</v>
      </c>
      <c r="K1200" s="60"/>
      <c r="L1200" s="60">
        <f>SUM(J1199:K1199)</f>
        <v>600000</v>
      </c>
    </row>
    <row r="1201" spans="1:16" x14ac:dyDescent="0.2">
      <c r="B1201" s="49"/>
      <c r="D1201" s="519"/>
      <c r="E1201" s="579"/>
      <c r="F1201" s="311"/>
      <c r="G1201" s="47"/>
      <c r="H1201" s="312"/>
      <c r="I1201" s="26"/>
      <c r="J1201" s="224"/>
      <c r="K1201" s="30"/>
      <c r="L1201" s="61"/>
      <c r="M1201" s="189"/>
    </row>
    <row r="1202" spans="1:16" ht="22.5" x14ac:dyDescent="0.2">
      <c r="B1202" s="49"/>
      <c r="D1202" s="519"/>
      <c r="E1202" s="581" t="s">
        <v>251</v>
      </c>
      <c r="F1202" s="391"/>
      <c r="G1202" s="334"/>
      <c r="H1202" s="393"/>
      <c r="I1202" s="401" t="s">
        <v>842</v>
      </c>
      <c r="J1202" s="261"/>
      <c r="K1202" s="326"/>
      <c r="L1202" s="57"/>
      <c r="M1202" s="189"/>
    </row>
    <row r="1203" spans="1:16" x14ac:dyDescent="0.2">
      <c r="B1203" s="49"/>
      <c r="D1203" s="519"/>
      <c r="E1203" s="579"/>
      <c r="F1203" s="311">
        <v>220</v>
      </c>
      <c r="G1203" s="47"/>
      <c r="H1203" s="311">
        <v>511</v>
      </c>
      <c r="I1203" s="220" t="s">
        <v>20</v>
      </c>
      <c r="J1203" s="64">
        <v>1000000</v>
      </c>
      <c r="K1203" s="59"/>
      <c r="L1203" s="59">
        <f>SUM(J1203:K1203)</f>
        <v>1000000</v>
      </c>
    </row>
    <row r="1204" spans="1:16" s="190" customFormat="1" x14ac:dyDescent="0.2">
      <c r="A1204" s="50"/>
      <c r="B1204" s="49"/>
      <c r="C1204" s="49"/>
      <c r="D1204" s="519"/>
      <c r="E1204" s="579"/>
      <c r="F1204" s="311"/>
      <c r="G1204" s="55" t="s">
        <v>37</v>
      </c>
      <c r="H1204" s="312"/>
      <c r="I1204" s="220" t="s">
        <v>38</v>
      </c>
      <c r="J1204" s="64">
        <f>SUM(J1203)</f>
        <v>1000000</v>
      </c>
      <c r="K1204" s="60"/>
      <c r="L1204" s="59">
        <f>SUM(J1203:K1203)</f>
        <v>1000000</v>
      </c>
      <c r="M1204" s="17"/>
      <c r="N1204" s="929"/>
      <c r="O1204" s="188"/>
      <c r="P1204" s="927"/>
    </row>
    <row r="1205" spans="1:16" s="191" customFormat="1" ht="15" x14ac:dyDescent="0.25">
      <c r="A1205" s="50"/>
      <c r="B1205" s="49"/>
      <c r="C1205" s="49"/>
      <c r="D1205" s="519"/>
      <c r="E1205" s="579"/>
      <c r="F1205" s="311"/>
      <c r="G1205" s="47"/>
      <c r="H1205" s="315"/>
      <c r="I1205" s="229" t="s">
        <v>710</v>
      </c>
      <c r="J1205" s="56">
        <f>SUM(J1204)</f>
        <v>1000000</v>
      </c>
      <c r="K1205" s="60"/>
      <c r="L1205" s="60">
        <f>SUM(J1204:K1204)</f>
        <v>1000000</v>
      </c>
      <c r="M1205" s="17"/>
      <c r="N1205" s="920"/>
      <c r="O1205" s="189"/>
      <c r="P1205" s="166"/>
    </row>
    <row r="1206" spans="1:16" x14ac:dyDescent="0.2">
      <c r="B1206" s="49"/>
      <c r="D1206" s="519"/>
      <c r="E1206" s="579"/>
      <c r="F1206" s="311"/>
      <c r="G1206" s="47"/>
      <c r="H1206" s="312"/>
      <c r="I1206" s="26"/>
      <c r="J1206" s="224"/>
      <c r="K1206" s="30"/>
      <c r="L1206" s="61"/>
    </row>
    <row r="1207" spans="1:16" ht="22.5" x14ac:dyDescent="0.2">
      <c r="B1207" s="49"/>
      <c r="D1207" s="519"/>
      <c r="E1207" s="581" t="s">
        <v>251</v>
      </c>
      <c r="F1207" s="391"/>
      <c r="G1207" s="334"/>
      <c r="H1207" s="393"/>
      <c r="I1207" s="401" t="s">
        <v>841</v>
      </c>
      <c r="J1207" s="261"/>
      <c r="K1207" s="326"/>
      <c r="L1207" s="57"/>
    </row>
    <row r="1208" spans="1:16" x14ac:dyDescent="0.2">
      <c r="B1208" s="49"/>
      <c r="D1208" s="519"/>
      <c r="E1208" s="579"/>
      <c r="F1208" s="311">
        <v>221</v>
      </c>
      <c r="G1208" s="47"/>
      <c r="H1208" s="311">
        <v>511</v>
      </c>
      <c r="I1208" s="220" t="s">
        <v>20</v>
      </c>
      <c r="J1208" s="64">
        <v>500000</v>
      </c>
      <c r="K1208" s="59"/>
      <c r="L1208" s="59">
        <f>SUM(J1208:K1208)</f>
        <v>500000</v>
      </c>
    </row>
    <row r="1209" spans="1:16" ht="14.25" customHeight="1" x14ac:dyDescent="0.2">
      <c r="B1209" s="49"/>
      <c r="D1209" s="519"/>
      <c r="E1209" s="579"/>
      <c r="F1209" s="311"/>
      <c r="G1209" s="55" t="s">
        <v>37</v>
      </c>
      <c r="H1209" s="312"/>
      <c r="I1209" s="220" t="s">
        <v>38</v>
      </c>
      <c r="J1209" s="64">
        <f>SUM(J1208)</f>
        <v>500000</v>
      </c>
      <c r="K1209" s="60"/>
      <c r="L1209" s="59">
        <f>SUM(J1208:K1208)</f>
        <v>500000</v>
      </c>
    </row>
    <row r="1210" spans="1:16" ht="15" x14ac:dyDescent="0.25">
      <c r="B1210" s="49"/>
      <c r="D1210" s="519"/>
      <c r="E1210" s="579"/>
      <c r="F1210" s="311"/>
      <c r="G1210" s="47"/>
      <c r="H1210" s="315"/>
      <c r="I1210" s="229" t="s">
        <v>710</v>
      </c>
      <c r="J1210" s="56">
        <f>SUM(J1209)</f>
        <v>500000</v>
      </c>
      <c r="K1210" s="60"/>
      <c r="L1210" s="60">
        <f>SUM(J1209:K1209)</f>
        <v>500000</v>
      </c>
    </row>
    <row r="1211" spans="1:16" x14ac:dyDescent="0.2">
      <c r="B1211" s="49"/>
      <c r="D1211" s="519"/>
      <c r="E1211" s="579"/>
      <c r="F1211" s="311"/>
      <c r="G1211" s="47"/>
      <c r="H1211" s="312"/>
      <c r="I1211" s="26"/>
      <c r="J1211" s="224"/>
      <c r="K1211" s="30"/>
      <c r="L1211" s="61"/>
    </row>
    <row r="1212" spans="1:16" ht="33.75" x14ac:dyDescent="0.2">
      <c r="B1212" s="49"/>
      <c r="D1212" s="519"/>
      <c r="E1212" s="581" t="s">
        <v>251</v>
      </c>
      <c r="F1212" s="391"/>
      <c r="G1212" s="334"/>
      <c r="H1212" s="393"/>
      <c r="I1212" s="401" t="s">
        <v>840</v>
      </c>
      <c r="J1212" s="261"/>
      <c r="K1212" s="326"/>
      <c r="L1212" s="57"/>
    </row>
    <row r="1213" spans="1:16" x14ac:dyDescent="0.2">
      <c r="B1213" s="49"/>
      <c r="D1213" s="519"/>
      <c r="E1213" s="579"/>
      <c r="F1213" s="311">
        <v>222</v>
      </c>
      <c r="G1213" s="47"/>
      <c r="H1213" s="311">
        <v>511</v>
      </c>
      <c r="I1213" s="220" t="s">
        <v>20</v>
      </c>
      <c r="J1213" s="64">
        <v>500000</v>
      </c>
      <c r="K1213" s="59"/>
      <c r="L1213" s="59">
        <f>SUM(J1213:K1213)</f>
        <v>500000</v>
      </c>
    </row>
    <row r="1214" spans="1:16" x14ac:dyDescent="0.2">
      <c r="B1214" s="49"/>
      <c r="D1214" s="519"/>
      <c r="E1214" s="579"/>
      <c r="F1214" s="311"/>
      <c r="G1214" s="55" t="s">
        <v>37</v>
      </c>
      <c r="H1214" s="312"/>
      <c r="I1214" s="220" t="s">
        <v>38</v>
      </c>
      <c r="J1214" s="64">
        <f>SUM(J1213)</f>
        <v>500000</v>
      </c>
      <c r="K1214" s="60"/>
      <c r="L1214" s="59">
        <f>SUM(J1213:K1213)</f>
        <v>500000</v>
      </c>
    </row>
    <row r="1215" spans="1:16" ht="14.25" customHeight="1" x14ac:dyDescent="0.25">
      <c r="B1215" s="49"/>
      <c r="D1215" s="519"/>
      <c r="E1215" s="579"/>
      <c r="F1215" s="311"/>
      <c r="G1215" s="47"/>
      <c r="H1215" s="315"/>
      <c r="I1215" s="229" t="s">
        <v>710</v>
      </c>
      <c r="J1215" s="56">
        <f>SUM(J1214)</f>
        <v>500000</v>
      </c>
      <c r="K1215" s="60"/>
      <c r="L1215" s="60">
        <f>SUM(J1214:K1214)</f>
        <v>500000</v>
      </c>
    </row>
    <row r="1216" spans="1:16" x14ac:dyDescent="0.2">
      <c r="B1216" s="49"/>
      <c r="D1216" s="519"/>
      <c r="E1216" s="579"/>
      <c r="F1216" s="311"/>
      <c r="G1216" s="47"/>
      <c r="H1216" s="312"/>
      <c r="I1216" s="26"/>
      <c r="J1216" s="224"/>
      <c r="K1216" s="30"/>
      <c r="L1216" s="61"/>
    </row>
    <row r="1217" spans="1:16" ht="25.5" customHeight="1" x14ac:dyDescent="0.2">
      <c r="B1217" s="49"/>
      <c r="D1217" s="519"/>
      <c r="E1217" s="581" t="s">
        <v>251</v>
      </c>
      <c r="F1217" s="391"/>
      <c r="G1217" s="334"/>
      <c r="H1217" s="393"/>
      <c r="I1217" s="339" t="s">
        <v>839</v>
      </c>
      <c r="J1217" s="259"/>
      <c r="K1217" s="80"/>
      <c r="L1217" s="260"/>
    </row>
    <row r="1218" spans="1:16" ht="15.75" customHeight="1" x14ac:dyDescent="0.2">
      <c r="B1218" s="49"/>
      <c r="D1218" s="519"/>
      <c r="E1218" s="579"/>
      <c r="F1218" s="311">
        <v>223</v>
      </c>
      <c r="G1218" s="47"/>
      <c r="H1218" s="311">
        <v>511</v>
      </c>
      <c r="I1218" s="289" t="s">
        <v>20</v>
      </c>
      <c r="J1218" s="64">
        <v>500000</v>
      </c>
      <c r="K1218" s="59"/>
      <c r="L1218" s="59">
        <f>SUM(J1218:K1218)</f>
        <v>500000</v>
      </c>
    </row>
    <row r="1219" spans="1:16" ht="16.5" customHeight="1" x14ac:dyDescent="0.2">
      <c r="B1219" s="49"/>
      <c r="D1219" s="519"/>
      <c r="E1219" s="579"/>
      <c r="F1219" s="311"/>
      <c r="G1219" s="55" t="s">
        <v>37</v>
      </c>
      <c r="H1219" s="312"/>
      <c r="I1219" s="220" t="s">
        <v>38</v>
      </c>
      <c r="J1219" s="64">
        <f>SUM(J1218)</f>
        <v>500000</v>
      </c>
      <c r="K1219" s="60"/>
      <c r="L1219" s="59">
        <f>SUM(J1218:K1218)</f>
        <v>500000</v>
      </c>
    </row>
    <row r="1220" spans="1:16" ht="20.25" customHeight="1" x14ac:dyDescent="0.25">
      <c r="B1220" s="49"/>
      <c r="D1220" s="519"/>
      <c r="E1220" s="579"/>
      <c r="F1220" s="311"/>
      <c r="G1220" s="47"/>
      <c r="H1220" s="315"/>
      <c r="I1220" s="229" t="s">
        <v>710</v>
      </c>
      <c r="J1220" s="56">
        <f>SUM(J1219)</f>
        <v>500000</v>
      </c>
      <c r="K1220" s="60"/>
      <c r="L1220" s="60">
        <f>SUM(J1219:K1219)</f>
        <v>500000</v>
      </c>
    </row>
    <row r="1221" spans="1:16" ht="18" customHeight="1" x14ac:dyDescent="0.2">
      <c r="B1221" s="49"/>
      <c r="D1221" s="519"/>
      <c r="E1221" s="579"/>
      <c r="F1221" s="311"/>
      <c r="G1221" s="47"/>
      <c r="H1221" s="312"/>
      <c r="I1221" s="26"/>
      <c r="J1221" s="224"/>
      <c r="K1221" s="30"/>
      <c r="L1221" s="61"/>
    </row>
    <row r="1222" spans="1:16" ht="35.25" customHeight="1" x14ac:dyDescent="0.2">
      <c r="B1222" s="49"/>
      <c r="D1222" s="519"/>
      <c r="E1222" s="581" t="s">
        <v>251</v>
      </c>
      <c r="F1222" s="391"/>
      <c r="G1222" s="334"/>
      <c r="H1222" s="393"/>
      <c r="I1222" s="401" t="s">
        <v>895</v>
      </c>
      <c r="J1222" s="261"/>
      <c r="K1222" s="326"/>
      <c r="L1222" s="57"/>
    </row>
    <row r="1223" spans="1:16" ht="15" customHeight="1" x14ac:dyDescent="0.2">
      <c r="B1223" s="49"/>
      <c r="D1223" s="519"/>
      <c r="E1223" s="579"/>
      <c r="F1223" s="311">
        <v>224</v>
      </c>
      <c r="G1223" s="47"/>
      <c r="H1223" s="311">
        <v>511</v>
      </c>
      <c r="I1223" s="220" t="s">
        <v>20</v>
      </c>
      <c r="J1223" s="64">
        <v>1000000</v>
      </c>
      <c r="K1223" s="59"/>
      <c r="L1223" s="59">
        <f>SUM(J1223:K1223)</f>
        <v>1000000</v>
      </c>
    </row>
    <row r="1224" spans="1:16" ht="15" customHeight="1" x14ac:dyDescent="0.2">
      <c r="B1224" s="49"/>
      <c r="D1224" s="519"/>
      <c r="E1224" s="579"/>
      <c r="F1224" s="311"/>
      <c r="G1224" s="55" t="s">
        <v>37</v>
      </c>
      <c r="H1224" s="312"/>
      <c r="I1224" s="220" t="s">
        <v>38</v>
      </c>
      <c r="J1224" s="64">
        <f>SUM(J1223)</f>
        <v>1000000</v>
      </c>
      <c r="K1224" s="60"/>
      <c r="L1224" s="59">
        <f>SUM(J1223:K1223)</f>
        <v>1000000</v>
      </c>
    </row>
    <row r="1225" spans="1:16" ht="15" customHeight="1" x14ac:dyDescent="0.2">
      <c r="B1225" s="49"/>
      <c r="D1225" s="519"/>
      <c r="E1225" s="579"/>
      <c r="F1225" s="311"/>
      <c r="G1225" s="47"/>
      <c r="H1225" s="312"/>
      <c r="I1225" s="229" t="s">
        <v>710</v>
      </c>
      <c r="J1225" s="56">
        <f>SUM(J1224)</f>
        <v>1000000</v>
      </c>
      <c r="K1225" s="60"/>
      <c r="L1225" s="60">
        <f>SUM(J1224:K1224)</f>
        <v>1000000</v>
      </c>
    </row>
    <row r="1226" spans="1:16" ht="17.25" customHeight="1" x14ac:dyDescent="0.2">
      <c r="B1226" s="49"/>
      <c r="D1226" s="519"/>
      <c r="E1226" s="579"/>
      <c r="F1226" s="311"/>
      <c r="G1226" s="47"/>
      <c r="H1226" s="312"/>
      <c r="I1226" s="26"/>
      <c r="J1226" s="224"/>
      <c r="K1226" s="30"/>
      <c r="L1226" s="61"/>
    </row>
    <row r="1227" spans="1:16" x14ac:dyDescent="0.2">
      <c r="B1227" s="49"/>
      <c r="D1227" s="519"/>
      <c r="E1227" s="581" t="s">
        <v>251</v>
      </c>
      <c r="F1227" s="391"/>
      <c r="G1227" s="334"/>
      <c r="H1227" s="393"/>
      <c r="I1227" s="401" t="s">
        <v>772</v>
      </c>
      <c r="J1227" s="261"/>
      <c r="K1227" s="326"/>
      <c r="L1227" s="57"/>
      <c r="M1227" s="188"/>
    </row>
    <row r="1228" spans="1:16" x14ac:dyDescent="0.2">
      <c r="B1228" s="49"/>
      <c r="D1228" s="519"/>
      <c r="E1228" s="579"/>
      <c r="F1228" s="311">
        <v>225</v>
      </c>
      <c r="G1228" s="47"/>
      <c r="H1228" s="311">
        <v>513</v>
      </c>
      <c r="I1228" s="220" t="s">
        <v>22</v>
      </c>
      <c r="J1228" s="64">
        <v>500000</v>
      </c>
      <c r="K1228" s="59"/>
      <c r="L1228" s="59">
        <f>SUM(J1228:K1228)</f>
        <v>500000</v>
      </c>
    </row>
    <row r="1229" spans="1:16" x14ac:dyDescent="0.2">
      <c r="B1229" s="49"/>
      <c r="D1229" s="519"/>
      <c r="E1229" s="579"/>
      <c r="F1229" s="311"/>
      <c r="G1229" s="55" t="s">
        <v>37</v>
      </c>
      <c r="H1229" s="312"/>
      <c r="I1229" s="220" t="s">
        <v>38</v>
      </c>
      <c r="J1229" s="64">
        <f>SUM(J1228)</f>
        <v>500000</v>
      </c>
      <c r="K1229" s="60"/>
      <c r="L1229" s="59">
        <f>SUM(J1228:K1228)</f>
        <v>500000</v>
      </c>
    </row>
    <row r="1230" spans="1:16" s="190" customFormat="1" ht="15" x14ac:dyDescent="0.25">
      <c r="A1230" s="50"/>
      <c r="B1230" s="49"/>
      <c r="C1230" s="49"/>
      <c r="D1230" s="519"/>
      <c r="E1230" s="579"/>
      <c r="F1230" s="311"/>
      <c r="G1230" s="47"/>
      <c r="H1230" s="315"/>
      <c r="I1230" s="229" t="s">
        <v>710</v>
      </c>
      <c r="J1230" s="56">
        <f>SUM(J1229)</f>
        <v>500000</v>
      </c>
      <c r="K1230" s="60"/>
      <c r="L1230" s="60">
        <f>SUM(J1229:K1229)</f>
        <v>500000</v>
      </c>
      <c r="M1230" s="17"/>
      <c r="N1230" s="929"/>
      <c r="O1230" s="188"/>
      <c r="P1230" s="927"/>
    </row>
    <row r="1231" spans="1:16" s="190" customFormat="1" x14ac:dyDescent="0.2">
      <c r="A1231" s="50"/>
      <c r="B1231" s="49"/>
      <c r="C1231" s="49"/>
      <c r="D1231" s="519"/>
      <c r="E1231" s="579"/>
      <c r="F1231" s="311"/>
      <c r="G1231" s="47"/>
      <c r="H1231" s="312"/>
      <c r="I1231" s="26"/>
      <c r="J1231" s="224"/>
      <c r="K1231" s="30"/>
      <c r="L1231" s="61"/>
      <c r="M1231" s="17"/>
      <c r="N1231" s="929"/>
      <c r="O1231" s="188"/>
      <c r="P1231" s="927"/>
    </row>
    <row r="1232" spans="1:16" ht="33.75" x14ac:dyDescent="0.2">
      <c r="B1232" s="49"/>
      <c r="D1232" s="519"/>
      <c r="E1232" s="581" t="s">
        <v>251</v>
      </c>
      <c r="F1232" s="391"/>
      <c r="G1232" s="334"/>
      <c r="H1232" s="393"/>
      <c r="I1232" s="401" t="s">
        <v>771</v>
      </c>
      <c r="J1232" s="261"/>
      <c r="K1232" s="326"/>
      <c r="L1232" s="57"/>
    </row>
    <row r="1233" spans="1:16" x14ac:dyDescent="0.2">
      <c r="B1233" s="49"/>
      <c r="D1233" s="519"/>
      <c r="E1233" s="579"/>
      <c r="F1233" s="311">
        <v>226</v>
      </c>
      <c r="G1233" s="47"/>
      <c r="H1233" s="311">
        <v>511</v>
      </c>
      <c r="I1233" s="220" t="s">
        <v>20</v>
      </c>
      <c r="J1233" s="64">
        <v>100000</v>
      </c>
      <c r="K1233" s="59"/>
      <c r="L1233" s="59">
        <f>SUM(J1233:K1233)</f>
        <v>100000</v>
      </c>
    </row>
    <row r="1234" spans="1:16" x14ac:dyDescent="0.2">
      <c r="B1234" s="49"/>
      <c r="D1234" s="519"/>
      <c r="E1234" s="579"/>
      <c r="F1234" s="311"/>
      <c r="G1234" s="55" t="s">
        <v>37</v>
      </c>
      <c r="H1234" s="312"/>
      <c r="I1234" s="220" t="s">
        <v>38</v>
      </c>
      <c r="J1234" s="64">
        <f>SUM(J1233)</f>
        <v>100000</v>
      </c>
      <c r="K1234" s="60"/>
      <c r="L1234" s="59">
        <f>SUM(J1233:K1233)</f>
        <v>100000</v>
      </c>
      <c r="M1234" s="188"/>
    </row>
    <row r="1235" spans="1:16" x14ac:dyDescent="0.2">
      <c r="B1235" s="49"/>
      <c r="D1235" s="519"/>
      <c r="E1235" s="579"/>
      <c r="F1235" s="311"/>
      <c r="G1235" s="47"/>
      <c r="H1235" s="312"/>
      <c r="I1235" s="229" t="s">
        <v>710</v>
      </c>
      <c r="J1235" s="56">
        <f>SUM(J1234)</f>
        <v>100000</v>
      </c>
      <c r="K1235" s="60"/>
      <c r="L1235" s="60">
        <f>SUM(J1234:K1234)</f>
        <v>100000</v>
      </c>
    </row>
    <row r="1236" spans="1:16" x14ac:dyDescent="0.2">
      <c r="B1236" s="49"/>
      <c r="D1236" s="519"/>
      <c r="E1236" s="579"/>
      <c r="F1236" s="311"/>
      <c r="G1236" s="47"/>
      <c r="H1236" s="312"/>
      <c r="I1236" s="26"/>
      <c r="J1236" s="224"/>
      <c r="K1236" s="30"/>
      <c r="L1236" s="61"/>
    </row>
    <row r="1237" spans="1:16" ht="22.5" x14ac:dyDescent="0.2">
      <c r="B1237" s="49"/>
      <c r="D1237" s="519"/>
      <c r="E1237" s="581" t="s">
        <v>251</v>
      </c>
      <c r="F1237" s="391"/>
      <c r="G1237" s="334"/>
      <c r="H1237" s="393"/>
      <c r="I1237" s="401" t="s">
        <v>770</v>
      </c>
      <c r="J1237" s="261"/>
      <c r="K1237" s="326"/>
      <c r="L1237" s="57"/>
    </row>
    <row r="1238" spans="1:16" s="190" customFormat="1" x14ac:dyDescent="0.2">
      <c r="A1238" s="50"/>
      <c r="B1238" s="49"/>
      <c r="C1238" s="49"/>
      <c r="D1238" s="519"/>
      <c r="E1238" s="579"/>
      <c r="F1238" s="311">
        <v>227</v>
      </c>
      <c r="G1238" s="47"/>
      <c r="H1238" s="311">
        <v>511</v>
      </c>
      <c r="I1238" s="220" t="s">
        <v>20</v>
      </c>
      <c r="J1238" s="64">
        <v>7603000</v>
      </c>
      <c r="K1238" s="59"/>
      <c r="L1238" s="59">
        <f>SUM(J1238:K1238)</f>
        <v>7603000</v>
      </c>
      <c r="M1238" s="17"/>
      <c r="N1238" s="995"/>
      <c r="O1238" s="188"/>
      <c r="P1238" s="927"/>
    </row>
    <row r="1239" spans="1:16" x14ac:dyDescent="0.2">
      <c r="B1239" s="49"/>
      <c r="D1239" s="519"/>
      <c r="E1239" s="579"/>
      <c r="F1239" s="311"/>
      <c r="G1239" s="55" t="s">
        <v>37</v>
      </c>
      <c r="H1239" s="312"/>
      <c r="I1239" s="220" t="s">
        <v>38</v>
      </c>
      <c r="J1239" s="64">
        <f>SUM(J1238:J1238)</f>
        <v>7603000</v>
      </c>
      <c r="K1239" s="60"/>
      <c r="L1239" s="59">
        <f>SUM(J1238:K1238)</f>
        <v>7603000</v>
      </c>
    </row>
    <row r="1240" spans="1:16" ht="15" x14ac:dyDescent="0.25">
      <c r="B1240" s="49"/>
      <c r="D1240" s="519"/>
      <c r="E1240" s="579"/>
      <c r="F1240" s="311"/>
      <c r="G1240" s="47"/>
      <c r="H1240" s="315"/>
      <c r="I1240" s="229" t="s">
        <v>710</v>
      </c>
      <c r="J1240" s="56">
        <f>SUM(J1239)</f>
        <v>7603000</v>
      </c>
      <c r="K1240" s="60"/>
      <c r="L1240" s="60">
        <f>SUM(J1239:K1239)</f>
        <v>7603000</v>
      </c>
    </row>
    <row r="1241" spans="1:16" x14ac:dyDescent="0.2">
      <c r="B1241" s="49"/>
      <c r="D1241" s="519"/>
      <c r="E1241" s="579"/>
      <c r="F1241" s="311"/>
      <c r="G1241" s="47"/>
      <c r="H1241" s="312"/>
      <c r="I1241" s="18"/>
      <c r="J1241" s="224"/>
      <c r="K1241" s="30"/>
      <c r="L1241" s="61"/>
    </row>
    <row r="1242" spans="1:16" ht="22.5" x14ac:dyDescent="0.2">
      <c r="B1242" s="49"/>
      <c r="D1242" s="519"/>
      <c r="E1242" s="581" t="s">
        <v>251</v>
      </c>
      <c r="F1242" s="391"/>
      <c r="G1242" s="334"/>
      <c r="H1242" s="393"/>
      <c r="I1242" s="401" t="s">
        <v>769</v>
      </c>
      <c r="J1242" s="261"/>
      <c r="K1242" s="326"/>
      <c r="L1242" s="57"/>
    </row>
    <row r="1243" spans="1:16" x14ac:dyDescent="0.2">
      <c r="B1243" s="49"/>
      <c r="D1243" s="519"/>
      <c r="E1243" s="579"/>
      <c r="F1243" s="311">
        <v>228</v>
      </c>
      <c r="G1243" s="47"/>
      <c r="H1243" s="311">
        <v>511</v>
      </c>
      <c r="I1243" s="220" t="s">
        <v>20</v>
      </c>
      <c r="J1243" s="64">
        <v>1000</v>
      </c>
      <c r="K1243" s="59"/>
      <c r="L1243" s="59">
        <f>SUM(J1243:K1243)</f>
        <v>1000</v>
      </c>
      <c r="N1243" s="995"/>
    </row>
    <row r="1244" spans="1:16" x14ac:dyDescent="0.2">
      <c r="B1244" s="49"/>
      <c r="D1244" s="519"/>
      <c r="E1244" s="579"/>
      <c r="F1244" s="311"/>
      <c r="G1244" s="55" t="s">
        <v>37</v>
      </c>
      <c r="H1244" s="312"/>
      <c r="I1244" s="220" t="s">
        <v>38</v>
      </c>
      <c r="J1244" s="64">
        <f>SUM(J1243:J1243)</f>
        <v>1000</v>
      </c>
      <c r="K1244" s="60"/>
      <c r="L1244" s="59">
        <f>SUM(J1243:K1243)</f>
        <v>1000</v>
      </c>
    </row>
    <row r="1245" spans="1:16" ht="15" x14ac:dyDescent="0.25">
      <c r="B1245" s="49"/>
      <c r="D1245" s="519"/>
      <c r="E1245" s="579"/>
      <c r="F1245" s="311"/>
      <c r="G1245" s="47"/>
      <c r="H1245" s="315"/>
      <c r="I1245" s="229" t="s">
        <v>710</v>
      </c>
      <c r="J1245" s="56">
        <f>SUM(J1244)</f>
        <v>1000</v>
      </c>
      <c r="K1245" s="60"/>
      <c r="L1245" s="60">
        <f>SUM(J1244:K1244)</f>
        <v>1000</v>
      </c>
    </row>
    <row r="1246" spans="1:16" ht="15" x14ac:dyDescent="0.25">
      <c r="B1246" s="49"/>
      <c r="D1246" s="519"/>
      <c r="E1246" s="579"/>
      <c r="F1246" s="311"/>
      <c r="G1246" s="47"/>
      <c r="H1246" s="314"/>
      <c r="I1246" s="18"/>
      <c r="J1246" s="224"/>
      <c r="K1246" s="30"/>
      <c r="L1246" s="61"/>
    </row>
    <row r="1247" spans="1:16" ht="22.5" x14ac:dyDescent="0.2">
      <c r="B1247" s="49"/>
      <c r="D1247" s="519"/>
      <c r="E1247" s="969" t="s">
        <v>251</v>
      </c>
      <c r="F1247" s="970"/>
      <c r="G1247" s="971"/>
      <c r="H1247" s="972"/>
      <c r="I1247" s="996" t="s">
        <v>954</v>
      </c>
      <c r="J1247" s="997"/>
      <c r="K1247" s="215"/>
      <c r="L1247" s="998"/>
    </row>
    <row r="1248" spans="1:16" x14ac:dyDescent="0.2">
      <c r="B1248" s="49"/>
      <c r="D1248" s="519"/>
      <c r="E1248" s="976"/>
      <c r="F1248" s="977" t="s">
        <v>983</v>
      </c>
      <c r="G1248" s="978"/>
      <c r="H1248" s="979" t="s">
        <v>46</v>
      </c>
      <c r="I1248" s="980" t="s">
        <v>10</v>
      </c>
      <c r="J1248" s="981">
        <v>200000</v>
      </c>
      <c r="K1248" s="982"/>
      <c r="L1248" s="983">
        <f>SUM(J1248:K1248)</f>
        <v>200000</v>
      </c>
    </row>
    <row r="1249" spans="2:14" x14ac:dyDescent="0.2">
      <c r="B1249" s="49"/>
      <c r="D1249" s="519"/>
      <c r="E1249" s="834"/>
      <c r="F1249" s="835">
        <v>229</v>
      </c>
      <c r="G1249" s="836"/>
      <c r="H1249" s="837" t="s">
        <v>270</v>
      </c>
      <c r="I1249" s="999" t="s">
        <v>20</v>
      </c>
      <c r="J1249" s="937">
        <f>55001000</f>
        <v>55001000</v>
      </c>
      <c r="K1249" s="936"/>
      <c r="L1249" s="214">
        <f>SUM(J1249:K1249)</f>
        <v>55001000</v>
      </c>
      <c r="N1249" s="942"/>
    </row>
    <row r="1250" spans="2:14" x14ac:dyDescent="0.2">
      <c r="B1250" s="49"/>
      <c r="D1250" s="519"/>
      <c r="E1250" s="834"/>
      <c r="F1250" s="835"/>
      <c r="G1250" s="984" t="s">
        <v>37</v>
      </c>
      <c r="H1250" s="835"/>
      <c r="I1250" s="935" t="s">
        <v>38</v>
      </c>
      <c r="J1250" s="937">
        <f>SUM(J1252-J1251)</f>
        <v>55200000</v>
      </c>
      <c r="K1250" s="936"/>
      <c r="L1250" s="214">
        <f t="shared" ref="L1250:L1252" si="62">SUM(J1250:K1250)</f>
        <v>55200000</v>
      </c>
    </row>
    <row r="1251" spans="2:14" x14ac:dyDescent="0.2">
      <c r="B1251" s="49"/>
      <c r="D1251" s="519"/>
      <c r="E1251" s="834"/>
      <c r="F1251" s="835"/>
      <c r="G1251" s="984" t="s">
        <v>113</v>
      </c>
      <c r="H1251" s="837"/>
      <c r="I1251" s="935" t="s">
        <v>418</v>
      </c>
      <c r="J1251" s="937">
        <v>1000</v>
      </c>
      <c r="K1251" s="936"/>
      <c r="L1251" s="214">
        <f t="shared" si="62"/>
        <v>1000</v>
      </c>
    </row>
    <row r="1252" spans="2:14" ht="15" x14ac:dyDescent="0.25">
      <c r="B1252" s="49"/>
      <c r="D1252" s="519"/>
      <c r="E1252" s="834"/>
      <c r="F1252" s="835"/>
      <c r="G1252" s="836"/>
      <c r="H1252" s="985"/>
      <c r="I1252" s="986" t="s">
        <v>710</v>
      </c>
      <c r="J1252" s="993">
        <f>SUM(J1248+J1249)</f>
        <v>55201000</v>
      </c>
      <c r="K1252" s="936"/>
      <c r="L1252" s="936">
        <f t="shared" si="62"/>
        <v>55201000</v>
      </c>
    </row>
    <row r="1253" spans="2:14" x14ac:dyDescent="0.2">
      <c r="B1253" s="49"/>
      <c r="D1253" s="519"/>
      <c r="E1253" s="579"/>
      <c r="F1253" s="311"/>
      <c r="G1253" s="47"/>
      <c r="H1253" s="312"/>
      <c r="I1253" s="18"/>
      <c r="J1253" s="224"/>
      <c r="K1253" s="30"/>
      <c r="L1253" s="61"/>
    </row>
    <row r="1254" spans="2:14" ht="22.5" x14ac:dyDescent="0.2">
      <c r="B1254" s="49"/>
      <c r="D1254" s="519"/>
      <c r="E1254" s="581" t="s">
        <v>251</v>
      </c>
      <c r="F1254" s="391"/>
      <c r="G1254" s="334"/>
      <c r="H1254" s="461"/>
      <c r="I1254" s="401" t="s">
        <v>768</v>
      </c>
      <c r="J1254" s="379"/>
      <c r="K1254" s="76"/>
      <c r="L1254" s="218"/>
    </row>
    <row r="1255" spans="2:14" x14ac:dyDescent="0.2">
      <c r="B1255" s="49"/>
      <c r="D1255" s="519"/>
      <c r="E1255" s="579"/>
      <c r="F1255" s="311">
        <v>230</v>
      </c>
      <c r="G1255" s="47"/>
      <c r="H1255" s="311">
        <v>511</v>
      </c>
      <c r="I1255" s="220" t="s">
        <v>20</v>
      </c>
      <c r="J1255" s="64">
        <v>500000</v>
      </c>
      <c r="K1255" s="59"/>
      <c r="L1255" s="59">
        <f>SUM(J1255:K1255)</f>
        <v>500000</v>
      </c>
    </row>
    <row r="1256" spans="2:14" x14ac:dyDescent="0.2">
      <c r="B1256" s="49"/>
      <c r="D1256" s="519"/>
      <c r="E1256" s="579"/>
      <c r="F1256" s="311"/>
      <c r="G1256" s="55" t="s">
        <v>37</v>
      </c>
      <c r="H1256" s="312"/>
      <c r="I1256" s="220" t="s">
        <v>38</v>
      </c>
      <c r="J1256" s="64">
        <f>SUM(J1255)</f>
        <v>500000</v>
      </c>
      <c r="K1256" s="59"/>
      <c r="L1256" s="59">
        <f>SUM(J1255:K1255)</f>
        <v>500000</v>
      </c>
    </row>
    <row r="1257" spans="2:14" x14ac:dyDescent="0.2">
      <c r="E1257" s="579"/>
      <c r="F1257" s="311"/>
      <c r="G1257" s="47"/>
      <c r="H1257" s="313"/>
      <c r="I1257" s="229" t="s">
        <v>710</v>
      </c>
      <c r="J1257" s="56">
        <f>SUM(J1256)</f>
        <v>500000</v>
      </c>
      <c r="K1257" s="60"/>
      <c r="L1257" s="60">
        <f>SUM(L1256)</f>
        <v>500000</v>
      </c>
    </row>
    <row r="1258" spans="2:14" x14ac:dyDescent="0.2">
      <c r="B1258" s="49"/>
      <c r="D1258" s="519"/>
      <c r="E1258" s="579"/>
      <c r="F1258" s="311"/>
      <c r="G1258" s="47"/>
      <c r="H1258" s="312"/>
      <c r="I1258" s="28"/>
      <c r="J1258" s="366"/>
      <c r="K1258" s="366"/>
      <c r="L1258" s="367"/>
    </row>
    <row r="1259" spans="2:14" x14ac:dyDescent="0.2">
      <c r="B1259" s="49"/>
      <c r="D1259" s="519"/>
      <c r="E1259" s="581" t="s">
        <v>251</v>
      </c>
      <c r="F1259" s="391"/>
      <c r="G1259" s="334"/>
      <c r="H1259" s="461"/>
      <c r="I1259" s="339" t="s">
        <v>767</v>
      </c>
      <c r="J1259" s="380"/>
      <c r="K1259" s="127"/>
      <c r="L1259" s="232"/>
    </row>
    <row r="1260" spans="2:14" x14ac:dyDescent="0.2">
      <c r="B1260" s="49"/>
      <c r="D1260" s="519"/>
      <c r="E1260" s="579"/>
      <c r="F1260" s="311">
        <v>231</v>
      </c>
      <c r="G1260" s="47"/>
      <c r="H1260" s="311">
        <v>511</v>
      </c>
      <c r="I1260" s="220" t="s">
        <v>20</v>
      </c>
      <c r="J1260" s="64">
        <v>1050000</v>
      </c>
      <c r="K1260" s="59"/>
      <c r="L1260" s="59">
        <f>SUM(J1260:K1260)</f>
        <v>1050000</v>
      </c>
    </row>
    <row r="1261" spans="2:14" x14ac:dyDescent="0.2">
      <c r="B1261" s="49"/>
      <c r="D1261" s="519"/>
      <c r="E1261" s="579"/>
      <c r="F1261" s="311"/>
      <c r="G1261" s="55" t="s">
        <v>37</v>
      </c>
      <c r="H1261" s="312"/>
      <c r="I1261" s="220" t="s">
        <v>38</v>
      </c>
      <c r="J1261" s="64">
        <f>SUM(J1260:J1260)</f>
        <v>1050000</v>
      </c>
      <c r="K1261" s="59"/>
      <c r="L1261" s="59">
        <f>SUM(J1260:K1260)</f>
        <v>1050000</v>
      </c>
      <c r="M1261" s="188"/>
    </row>
    <row r="1262" spans="2:14" ht="15" x14ac:dyDescent="0.25">
      <c r="E1262" s="579"/>
      <c r="F1262" s="311"/>
      <c r="G1262" s="47"/>
      <c r="H1262" s="315"/>
      <c r="I1262" s="229" t="s">
        <v>710</v>
      </c>
      <c r="J1262" s="56">
        <f>SUM(J1261)</f>
        <v>1050000</v>
      </c>
      <c r="K1262" s="60"/>
      <c r="L1262" s="60">
        <f>SUM(L1261)</f>
        <v>1050000</v>
      </c>
    </row>
    <row r="1263" spans="2:14" x14ac:dyDescent="0.2">
      <c r="B1263" s="49"/>
      <c r="D1263" s="519"/>
      <c r="E1263" s="579"/>
      <c r="F1263" s="311"/>
      <c r="G1263" s="47"/>
      <c r="H1263" s="312"/>
      <c r="I1263" s="28"/>
      <c r="J1263" s="366"/>
      <c r="K1263" s="366"/>
      <c r="L1263" s="367"/>
    </row>
    <row r="1264" spans="2:14" ht="22.5" x14ac:dyDescent="0.2">
      <c r="B1264" s="49"/>
      <c r="D1264" s="519"/>
      <c r="E1264" s="581" t="s">
        <v>251</v>
      </c>
      <c r="F1264" s="391"/>
      <c r="G1264" s="334"/>
      <c r="H1264" s="393"/>
      <c r="I1264" s="401" t="s">
        <v>766</v>
      </c>
      <c r="J1264" s="261"/>
      <c r="K1264" s="326"/>
      <c r="L1264" s="57"/>
    </row>
    <row r="1265" spans="1:16" s="190" customFormat="1" x14ac:dyDescent="0.2">
      <c r="A1265" s="50"/>
      <c r="B1265" s="49"/>
      <c r="C1265" s="49"/>
      <c r="D1265" s="519"/>
      <c r="E1265" s="579"/>
      <c r="F1265" s="311">
        <v>232</v>
      </c>
      <c r="G1265" s="47"/>
      <c r="H1265" s="311">
        <v>511</v>
      </c>
      <c r="I1265" s="220" t="s">
        <v>20</v>
      </c>
      <c r="J1265" s="64">
        <v>600000</v>
      </c>
      <c r="K1265" s="59"/>
      <c r="L1265" s="59">
        <f>SUM(J1265:K1265)</f>
        <v>600000</v>
      </c>
      <c r="M1265" s="17"/>
      <c r="N1265" s="929"/>
      <c r="O1265" s="188"/>
      <c r="P1265" s="927"/>
    </row>
    <row r="1266" spans="1:16" x14ac:dyDescent="0.2">
      <c r="B1266" s="49"/>
      <c r="D1266" s="519"/>
      <c r="E1266" s="579"/>
      <c r="F1266" s="311"/>
      <c r="G1266" s="55" t="s">
        <v>37</v>
      </c>
      <c r="H1266" s="312"/>
      <c r="I1266" s="220" t="s">
        <v>38</v>
      </c>
      <c r="J1266" s="64">
        <f>SUM(J1265)</f>
        <v>600000</v>
      </c>
      <c r="K1266" s="60"/>
      <c r="L1266" s="59">
        <f>SUM(J1265:K1265)</f>
        <v>600000</v>
      </c>
    </row>
    <row r="1267" spans="1:16" ht="15" x14ac:dyDescent="0.25">
      <c r="B1267" s="49"/>
      <c r="D1267" s="519"/>
      <c r="E1267" s="579"/>
      <c r="F1267" s="311"/>
      <c r="G1267" s="47"/>
      <c r="H1267" s="315"/>
      <c r="I1267" s="229" t="s">
        <v>704</v>
      </c>
      <c r="J1267" s="56">
        <f>SUM(J1266)</f>
        <v>600000</v>
      </c>
      <c r="K1267" s="60"/>
      <c r="L1267" s="60">
        <f>SUM(J1266:K1266)</f>
        <v>600000</v>
      </c>
    </row>
    <row r="1268" spans="1:16" x14ac:dyDescent="0.2">
      <c r="B1268" s="49"/>
      <c r="D1268" s="519"/>
      <c r="E1268" s="579"/>
      <c r="F1268" s="311"/>
      <c r="G1268" s="47"/>
      <c r="H1268" s="312"/>
      <c r="I1268" s="26"/>
      <c r="J1268" s="224"/>
      <c r="K1268" s="30"/>
      <c r="L1268" s="61"/>
    </row>
    <row r="1269" spans="1:16" x14ac:dyDescent="0.2">
      <c r="B1269" s="49"/>
      <c r="D1269" s="519"/>
      <c r="E1269" s="581" t="s">
        <v>251</v>
      </c>
      <c r="F1269" s="391"/>
      <c r="G1269" s="334"/>
      <c r="H1269" s="393"/>
      <c r="I1269" s="339" t="s">
        <v>765</v>
      </c>
      <c r="J1269" s="259"/>
      <c r="K1269" s="80"/>
      <c r="L1269" s="260"/>
    </row>
    <row r="1270" spans="1:16" x14ac:dyDescent="0.2">
      <c r="B1270" s="49"/>
      <c r="D1270" s="519"/>
      <c r="E1270" s="579"/>
      <c r="F1270" s="311">
        <v>233</v>
      </c>
      <c r="G1270" s="47"/>
      <c r="H1270" s="311">
        <v>511</v>
      </c>
      <c r="I1270" s="220" t="s">
        <v>20</v>
      </c>
      <c r="J1270" s="64">
        <v>5000000</v>
      </c>
      <c r="K1270" s="59"/>
      <c r="L1270" s="59">
        <f>SUM(J1270:K1270)</f>
        <v>5000000</v>
      </c>
      <c r="N1270" s="942"/>
    </row>
    <row r="1271" spans="1:16" x14ac:dyDescent="0.2">
      <c r="B1271" s="49"/>
      <c r="D1271" s="519"/>
      <c r="E1271" s="579"/>
      <c r="F1271" s="311"/>
      <c r="G1271" s="55" t="s">
        <v>37</v>
      </c>
      <c r="H1271" s="441"/>
      <c r="I1271" s="220" t="s">
        <v>38</v>
      </c>
      <c r="J1271" s="64">
        <f>SUM(J1270:J1270)</f>
        <v>5000000</v>
      </c>
      <c r="K1271" s="60"/>
      <c r="L1271" s="59">
        <f>SUM(J1270:K1270)</f>
        <v>5000000</v>
      </c>
    </row>
    <row r="1272" spans="1:16" ht="15" x14ac:dyDescent="0.25">
      <c r="B1272" s="49"/>
      <c r="D1272" s="519"/>
      <c r="E1272" s="579"/>
      <c r="F1272" s="311"/>
      <c r="G1272" s="47"/>
      <c r="H1272" s="315"/>
      <c r="I1272" s="65" t="s">
        <v>710</v>
      </c>
      <c r="J1272" s="56">
        <f>SUM(J1271)</f>
        <v>5000000</v>
      </c>
      <c r="K1272" s="60"/>
      <c r="L1272" s="60">
        <f>SUM(J1271:K1271)</f>
        <v>5000000</v>
      </c>
    </row>
    <row r="1273" spans="1:16" x14ac:dyDescent="0.2">
      <c r="B1273" s="49"/>
      <c r="D1273" s="519"/>
      <c r="E1273" s="579"/>
      <c r="F1273" s="311"/>
      <c r="G1273" s="47"/>
      <c r="H1273" s="312"/>
      <c r="I1273" s="26"/>
      <c r="J1273" s="224"/>
      <c r="K1273" s="30"/>
      <c r="L1273" s="61"/>
    </row>
    <row r="1274" spans="1:16" ht="33.75" x14ac:dyDescent="0.2">
      <c r="B1274" s="49"/>
      <c r="D1274" s="519"/>
      <c r="E1274" s="581" t="s">
        <v>251</v>
      </c>
      <c r="F1274" s="391"/>
      <c r="G1274" s="334"/>
      <c r="H1274" s="393"/>
      <c r="I1274" s="401" t="s">
        <v>712</v>
      </c>
      <c r="J1274" s="261"/>
      <c r="K1274" s="326"/>
      <c r="L1274" s="57"/>
    </row>
    <row r="1275" spans="1:16" x14ac:dyDescent="0.2">
      <c r="B1275" s="49"/>
      <c r="D1275" s="519"/>
      <c r="E1275" s="582"/>
      <c r="F1275" s="882" t="s">
        <v>982</v>
      </c>
      <c r="G1275" s="883"/>
      <c r="H1275" s="884" t="s">
        <v>46</v>
      </c>
      <c r="I1275" s="898" t="s">
        <v>10</v>
      </c>
      <c r="J1275" s="908">
        <v>200000</v>
      </c>
      <c r="K1275" s="909"/>
      <c r="L1275" s="887">
        <f>SUM(J1275:K1275)</f>
        <v>200000</v>
      </c>
    </row>
    <row r="1276" spans="1:16" x14ac:dyDescent="0.2">
      <c r="B1276" s="49"/>
      <c r="D1276" s="519"/>
      <c r="E1276" s="579"/>
      <c r="F1276" s="311">
        <v>234</v>
      </c>
      <c r="G1276" s="230"/>
      <c r="H1276" s="311">
        <v>511</v>
      </c>
      <c r="I1276" s="220" t="s">
        <v>20</v>
      </c>
      <c r="J1276" s="64">
        <v>5500000</v>
      </c>
      <c r="K1276" s="59"/>
      <c r="L1276" s="59">
        <f>SUM(J1276:K1276)</f>
        <v>5500000</v>
      </c>
    </row>
    <row r="1277" spans="1:16" x14ac:dyDescent="0.2">
      <c r="B1277" s="49"/>
      <c r="D1277" s="519"/>
      <c r="E1277" s="579"/>
      <c r="F1277" s="311"/>
      <c r="G1277" s="55" t="s">
        <v>37</v>
      </c>
      <c r="H1277" s="441"/>
      <c r="I1277" s="220" t="s">
        <v>38</v>
      </c>
      <c r="J1277" s="64">
        <f>SUM(J1275:J1276)</f>
        <v>5700000</v>
      </c>
      <c r="K1277" s="60"/>
      <c r="L1277" s="59">
        <f>SUM(J1277:K1277)</f>
        <v>5700000</v>
      </c>
    </row>
    <row r="1278" spans="1:16" ht="15" x14ac:dyDescent="0.25">
      <c r="B1278" s="49"/>
      <c r="D1278" s="519"/>
      <c r="E1278" s="579"/>
      <c r="F1278" s="311"/>
      <c r="G1278" s="47"/>
      <c r="H1278" s="315"/>
      <c r="I1278" s="65" t="s">
        <v>710</v>
      </c>
      <c r="J1278" s="56">
        <f>SUM(J1277)</f>
        <v>5700000</v>
      </c>
      <c r="K1278" s="60"/>
      <c r="L1278" s="60">
        <f>SUM(J1277:K1277)</f>
        <v>5700000</v>
      </c>
    </row>
    <row r="1279" spans="1:16" x14ac:dyDescent="0.2">
      <c r="B1279" s="49"/>
      <c r="D1279" s="519"/>
      <c r="E1279" s="579"/>
      <c r="F1279" s="311"/>
      <c r="G1279" s="47"/>
      <c r="H1279" s="312"/>
      <c r="I1279" s="26"/>
      <c r="J1279" s="224"/>
      <c r="K1279" s="30"/>
      <c r="L1279" s="61"/>
    </row>
    <row r="1280" spans="1:16" ht="22.5" x14ac:dyDescent="0.2">
      <c r="B1280" s="49"/>
      <c r="D1280" s="519"/>
      <c r="E1280" s="581" t="s">
        <v>251</v>
      </c>
      <c r="F1280" s="391"/>
      <c r="G1280" s="334"/>
      <c r="H1280" s="393"/>
      <c r="I1280" s="401" t="s">
        <v>764</v>
      </c>
      <c r="J1280" s="261"/>
      <c r="K1280" s="326"/>
      <c r="L1280" s="57"/>
    </row>
    <row r="1281" spans="1:16" x14ac:dyDescent="0.2">
      <c r="B1281" s="49"/>
      <c r="D1281" s="519"/>
      <c r="E1281" s="579"/>
      <c r="F1281" s="311">
        <v>235</v>
      </c>
      <c r="G1281" s="230"/>
      <c r="H1281" s="311">
        <v>511</v>
      </c>
      <c r="I1281" s="220" t="s">
        <v>20</v>
      </c>
      <c r="J1281" s="64">
        <v>4000000</v>
      </c>
      <c r="K1281" s="59"/>
      <c r="L1281" s="59">
        <f>SUM(J1281:K1281)</f>
        <v>4000000</v>
      </c>
    </row>
    <row r="1282" spans="1:16" x14ac:dyDescent="0.2">
      <c r="B1282" s="49"/>
      <c r="D1282" s="519"/>
      <c r="E1282" s="579"/>
      <c r="F1282" s="311"/>
      <c r="G1282" s="55" t="s">
        <v>37</v>
      </c>
      <c r="H1282" s="441"/>
      <c r="I1282" s="220" t="s">
        <v>38</v>
      </c>
      <c r="J1282" s="64">
        <f>SUM(J1281:J1281)</f>
        <v>4000000</v>
      </c>
      <c r="K1282" s="60"/>
      <c r="L1282" s="59">
        <f>SUM(J1281:K1281)</f>
        <v>4000000</v>
      </c>
    </row>
    <row r="1283" spans="1:16" ht="15" x14ac:dyDescent="0.25">
      <c r="B1283" s="49"/>
      <c r="D1283" s="519"/>
      <c r="E1283" s="579"/>
      <c r="F1283" s="311"/>
      <c r="G1283" s="47"/>
      <c r="H1283" s="315"/>
      <c r="I1283" s="65" t="s">
        <v>710</v>
      </c>
      <c r="J1283" s="56">
        <f>SUM(J1282)</f>
        <v>4000000</v>
      </c>
      <c r="K1283" s="60"/>
      <c r="L1283" s="60">
        <f>SUM(J1282:K1282)</f>
        <v>4000000</v>
      </c>
    </row>
    <row r="1284" spans="1:16" x14ac:dyDescent="0.2">
      <c r="B1284" s="49"/>
      <c r="D1284" s="519"/>
      <c r="E1284" s="579"/>
      <c r="F1284" s="311"/>
      <c r="G1284" s="47"/>
      <c r="H1284" s="312"/>
      <c r="I1284" s="26"/>
      <c r="J1284" s="224"/>
      <c r="K1284" s="30"/>
      <c r="L1284" s="61"/>
    </row>
    <row r="1285" spans="1:16" ht="22.5" x14ac:dyDescent="0.2">
      <c r="B1285" s="49"/>
      <c r="D1285" s="519"/>
      <c r="E1285" s="581" t="s">
        <v>251</v>
      </c>
      <c r="F1285" s="391"/>
      <c r="G1285" s="334"/>
      <c r="H1285" s="393"/>
      <c r="I1285" s="401" t="s">
        <v>763</v>
      </c>
      <c r="J1285" s="261"/>
      <c r="K1285" s="326"/>
      <c r="L1285" s="57"/>
    </row>
    <row r="1286" spans="1:16" x14ac:dyDescent="0.2">
      <c r="B1286" s="49"/>
      <c r="D1286" s="519"/>
      <c r="E1286" s="579"/>
      <c r="F1286" s="311">
        <v>236</v>
      </c>
      <c r="G1286" s="230"/>
      <c r="H1286" s="311">
        <v>511</v>
      </c>
      <c r="I1286" s="220" t="s">
        <v>20</v>
      </c>
      <c r="J1286" s="64">
        <v>804000</v>
      </c>
      <c r="K1286" s="59"/>
      <c r="L1286" s="59">
        <f>SUM(J1286:K1286)</f>
        <v>804000</v>
      </c>
    </row>
    <row r="1287" spans="1:16" x14ac:dyDescent="0.2">
      <c r="B1287" s="49"/>
      <c r="D1287" s="519"/>
      <c r="E1287" s="579"/>
      <c r="F1287" s="311"/>
      <c r="G1287" s="55" t="s">
        <v>37</v>
      </c>
      <c r="H1287" s="312"/>
      <c r="I1287" s="220" t="s">
        <v>38</v>
      </c>
      <c r="J1287" s="64">
        <f>SUM(J1286:J1286)</f>
        <v>804000</v>
      </c>
      <c r="K1287" s="60"/>
      <c r="L1287" s="59">
        <f>SUM(J1286:K1286)</f>
        <v>804000</v>
      </c>
    </row>
    <row r="1288" spans="1:16" ht="15" x14ac:dyDescent="0.25">
      <c r="B1288" s="49"/>
      <c r="D1288" s="519"/>
      <c r="E1288" s="579"/>
      <c r="F1288" s="311"/>
      <c r="G1288" s="47"/>
      <c r="H1288" s="315"/>
      <c r="I1288" s="65" t="s">
        <v>710</v>
      </c>
      <c r="J1288" s="56">
        <f>SUM(J1287)</f>
        <v>804000</v>
      </c>
      <c r="K1288" s="60"/>
      <c r="L1288" s="60">
        <f>SUM(J1287:K1287)</f>
        <v>804000</v>
      </c>
    </row>
    <row r="1289" spans="1:16" ht="15" x14ac:dyDescent="0.25">
      <c r="B1289" s="49"/>
      <c r="D1289" s="519"/>
      <c r="E1289" s="579"/>
      <c r="F1289" s="311"/>
      <c r="G1289" s="47"/>
      <c r="H1289" s="315"/>
      <c r="I1289" s="26"/>
      <c r="J1289" s="224"/>
      <c r="K1289" s="30"/>
      <c r="L1289" s="61"/>
    </row>
    <row r="1290" spans="1:16" ht="33.75" x14ac:dyDescent="0.2">
      <c r="B1290" s="49"/>
      <c r="D1290" s="519"/>
      <c r="E1290" s="581" t="s">
        <v>251</v>
      </c>
      <c r="F1290" s="391"/>
      <c r="G1290" s="334"/>
      <c r="H1290" s="393"/>
      <c r="I1290" s="339" t="s">
        <v>762</v>
      </c>
      <c r="J1290" s="259"/>
      <c r="K1290" s="80"/>
      <c r="L1290" s="260"/>
    </row>
    <row r="1291" spans="1:16" x14ac:dyDescent="0.2">
      <c r="B1291" s="49"/>
      <c r="D1291" s="519"/>
      <c r="E1291" s="582"/>
      <c r="F1291" s="882" t="s">
        <v>981</v>
      </c>
      <c r="G1291" s="883"/>
      <c r="H1291" s="884" t="s">
        <v>46</v>
      </c>
      <c r="I1291" s="898" t="s">
        <v>10</v>
      </c>
      <c r="J1291" s="908">
        <v>400000</v>
      </c>
      <c r="K1291" s="909"/>
      <c r="L1291" s="887">
        <f>SUM(J1291:K1291)</f>
        <v>400000</v>
      </c>
    </row>
    <row r="1292" spans="1:16" x14ac:dyDescent="0.2">
      <c r="B1292" s="49"/>
      <c r="D1292" s="519"/>
      <c r="E1292" s="579"/>
      <c r="F1292" s="311">
        <v>237</v>
      </c>
      <c r="G1292" s="47"/>
      <c r="H1292" s="312" t="s">
        <v>270</v>
      </c>
      <c r="I1292" s="289" t="s">
        <v>20</v>
      </c>
      <c r="J1292" s="64">
        <v>35700000</v>
      </c>
      <c r="K1292" s="60"/>
      <c r="L1292" s="59">
        <f>SUM(J1292:K1292)</f>
        <v>35700000</v>
      </c>
      <c r="M1292" s="188"/>
    </row>
    <row r="1293" spans="1:16" x14ac:dyDescent="0.2">
      <c r="B1293" s="49"/>
      <c r="D1293" s="519"/>
      <c r="E1293" s="579"/>
      <c r="F1293" s="311"/>
      <c r="G1293" s="55" t="s">
        <v>37</v>
      </c>
      <c r="H1293" s="312"/>
      <c r="I1293" s="289" t="s">
        <v>38</v>
      </c>
      <c r="J1293" s="64">
        <f>SUM(J1295-J1294)</f>
        <v>18600000</v>
      </c>
      <c r="K1293" s="60"/>
      <c r="L1293" s="59">
        <f t="shared" ref="L1293:L1295" si="63">SUM(J1293:K1293)</f>
        <v>18600000</v>
      </c>
      <c r="M1293" s="188"/>
    </row>
    <row r="1294" spans="1:16" x14ac:dyDescent="0.2">
      <c r="B1294" s="49"/>
      <c r="D1294" s="519"/>
      <c r="E1294" s="579"/>
      <c r="F1294" s="311"/>
      <c r="G1294" s="55" t="s">
        <v>113</v>
      </c>
      <c r="H1294" s="312"/>
      <c r="I1294" s="289" t="s">
        <v>418</v>
      </c>
      <c r="J1294" s="64">
        <v>17500000</v>
      </c>
      <c r="K1294" s="60"/>
      <c r="L1294" s="59">
        <f t="shared" si="63"/>
        <v>17500000</v>
      </c>
    </row>
    <row r="1295" spans="1:16" ht="15" x14ac:dyDescent="0.25">
      <c r="B1295" s="49"/>
      <c r="D1295" s="519"/>
      <c r="E1295" s="579"/>
      <c r="F1295" s="311"/>
      <c r="G1295" s="47"/>
      <c r="H1295" s="315"/>
      <c r="I1295" s="229" t="s">
        <v>710</v>
      </c>
      <c r="J1295" s="56">
        <f>SUM(J1291:J1292)</f>
        <v>36100000</v>
      </c>
      <c r="K1295" s="60"/>
      <c r="L1295" s="60">
        <f t="shared" si="63"/>
        <v>36100000</v>
      </c>
    </row>
    <row r="1296" spans="1:16" s="190" customFormat="1" x14ac:dyDescent="0.2">
      <c r="A1296" s="50"/>
      <c r="B1296" s="49"/>
      <c r="C1296" s="49"/>
      <c r="D1296" s="519"/>
      <c r="E1296" s="579"/>
      <c r="F1296" s="311"/>
      <c r="G1296" s="47"/>
      <c r="H1296" s="312"/>
      <c r="I1296" s="26"/>
      <c r="J1296" s="224"/>
      <c r="K1296" s="30"/>
      <c r="L1296" s="61"/>
      <c r="M1296" s="17"/>
      <c r="N1296" s="929"/>
      <c r="O1296" s="188"/>
      <c r="P1296" s="927"/>
    </row>
    <row r="1297" spans="1:23" ht="22.5" x14ac:dyDescent="0.2">
      <c r="B1297" s="49"/>
      <c r="D1297" s="519"/>
      <c r="E1297" s="581" t="s">
        <v>251</v>
      </c>
      <c r="F1297" s="391"/>
      <c r="G1297" s="334"/>
      <c r="H1297" s="393"/>
      <c r="I1297" s="339" t="s">
        <v>838</v>
      </c>
      <c r="J1297" s="259"/>
      <c r="K1297" s="80"/>
      <c r="L1297" s="260"/>
    </row>
    <row r="1298" spans="1:23" x14ac:dyDescent="0.2">
      <c r="B1298" s="49"/>
      <c r="D1298" s="519"/>
      <c r="E1298" s="582"/>
      <c r="F1298" s="882" t="s">
        <v>1033</v>
      </c>
      <c r="G1298" s="883"/>
      <c r="H1298" s="884" t="s">
        <v>46</v>
      </c>
      <c r="I1298" s="898" t="s">
        <v>10</v>
      </c>
      <c r="J1298" s="908">
        <v>200000</v>
      </c>
      <c r="K1298" s="909"/>
      <c r="L1298" s="887">
        <f>SUM(J1298:K1298)</f>
        <v>200000</v>
      </c>
    </row>
    <row r="1299" spans="1:23" x14ac:dyDescent="0.2">
      <c r="B1299" s="49"/>
      <c r="D1299" s="519"/>
      <c r="E1299" s="579"/>
      <c r="F1299" s="311">
        <v>238</v>
      </c>
      <c r="G1299" s="47"/>
      <c r="H1299" s="311">
        <v>511</v>
      </c>
      <c r="I1299" s="289" t="s">
        <v>20</v>
      </c>
      <c r="J1299" s="64">
        <f>6454047.6+254047.6</f>
        <v>6708095.1999999993</v>
      </c>
      <c r="K1299" s="60"/>
      <c r="L1299" s="59">
        <f>SUM(J1299:K1299)</f>
        <v>6708095.1999999993</v>
      </c>
    </row>
    <row r="1300" spans="1:23" x14ac:dyDescent="0.2">
      <c r="B1300" s="49"/>
      <c r="D1300" s="519"/>
      <c r="E1300" s="579"/>
      <c r="F1300" s="311"/>
      <c r="G1300" s="55" t="s">
        <v>37</v>
      </c>
      <c r="H1300" s="312"/>
      <c r="I1300" s="289" t="s">
        <v>38</v>
      </c>
      <c r="J1300" s="64">
        <f>SUM(J1298:J1299)</f>
        <v>6908095.1999999993</v>
      </c>
      <c r="K1300" s="60"/>
      <c r="L1300" s="59">
        <f>SUM(J1299:K1299)</f>
        <v>6708095.1999999993</v>
      </c>
    </row>
    <row r="1301" spans="1:23" ht="15" x14ac:dyDescent="0.25">
      <c r="B1301" s="49"/>
      <c r="D1301" s="519"/>
      <c r="E1301" s="579"/>
      <c r="F1301" s="311"/>
      <c r="G1301" s="47"/>
      <c r="H1301" s="315"/>
      <c r="I1301" s="300" t="s">
        <v>710</v>
      </c>
      <c r="J1301" s="56">
        <f>SUM(J1300)</f>
        <v>6908095.1999999993</v>
      </c>
      <c r="K1301" s="60"/>
      <c r="L1301" s="60">
        <f>SUM(J1300:K1300)</f>
        <v>6908095.1999999993</v>
      </c>
    </row>
    <row r="1302" spans="1:23" x14ac:dyDescent="0.2">
      <c r="B1302" s="49"/>
      <c r="D1302" s="519"/>
      <c r="E1302" s="579"/>
      <c r="F1302" s="311"/>
      <c r="G1302" s="47"/>
      <c r="H1302" s="312"/>
      <c r="I1302" s="26"/>
      <c r="J1302" s="224"/>
      <c r="K1302" s="30"/>
      <c r="L1302" s="61"/>
    </row>
    <row r="1303" spans="1:23" ht="22.5" x14ac:dyDescent="0.2">
      <c r="B1303" s="49"/>
      <c r="D1303" s="519"/>
      <c r="E1303" s="581" t="s">
        <v>251</v>
      </c>
      <c r="F1303" s="391"/>
      <c r="G1303" s="334"/>
      <c r="H1303" s="393"/>
      <c r="I1303" s="339" t="s">
        <v>836</v>
      </c>
      <c r="J1303" s="259"/>
      <c r="K1303" s="80"/>
      <c r="L1303" s="260"/>
    </row>
    <row r="1304" spans="1:23" x14ac:dyDescent="0.2">
      <c r="B1304" s="49"/>
      <c r="D1304" s="519"/>
      <c r="E1304" s="582"/>
      <c r="F1304" s="441" t="s">
        <v>1027</v>
      </c>
      <c r="G1304" s="230"/>
      <c r="H1304" s="470" t="s">
        <v>46</v>
      </c>
      <c r="I1304" s="1003" t="s">
        <v>10</v>
      </c>
      <c r="J1304" s="53">
        <v>700000</v>
      </c>
      <c r="K1304" s="60"/>
      <c r="L1304" s="60">
        <f>SUM(J1304:K1304)</f>
        <v>700000</v>
      </c>
    </row>
    <row r="1305" spans="1:23" x14ac:dyDescent="0.2">
      <c r="B1305" s="49"/>
      <c r="D1305" s="519"/>
      <c r="E1305" s="579"/>
      <c r="F1305" s="311">
        <v>239</v>
      </c>
      <c r="G1305" s="47"/>
      <c r="H1305" s="311">
        <v>511</v>
      </c>
      <c r="I1305" s="220" t="s">
        <v>20</v>
      </c>
      <c r="J1305" s="64">
        <f>25000000+10000000</f>
        <v>35000000</v>
      </c>
      <c r="K1305" s="59"/>
      <c r="L1305" s="59">
        <f>SUM(J1305:K1305)</f>
        <v>35000000</v>
      </c>
      <c r="N1305" s="942"/>
    </row>
    <row r="1306" spans="1:23" x14ac:dyDescent="0.2">
      <c r="B1306" s="49"/>
      <c r="D1306" s="519"/>
      <c r="E1306" s="579"/>
      <c r="F1306" s="311"/>
      <c r="G1306" s="55" t="s">
        <v>37</v>
      </c>
      <c r="H1306" s="312"/>
      <c r="I1306" s="220" t="s">
        <v>38</v>
      </c>
      <c r="J1306" s="64">
        <f>SUM(J1304:J1305)</f>
        <v>35700000</v>
      </c>
      <c r="K1306" s="60"/>
      <c r="L1306" s="59">
        <f>SUM(J1305:K1305)</f>
        <v>35000000</v>
      </c>
    </row>
    <row r="1307" spans="1:23" ht="15" x14ac:dyDescent="0.25">
      <c r="B1307" s="49"/>
      <c r="D1307" s="519"/>
      <c r="E1307" s="579"/>
      <c r="F1307" s="311"/>
      <c r="G1307" s="47"/>
      <c r="H1307" s="315"/>
      <c r="I1307" s="229" t="s">
        <v>710</v>
      </c>
      <c r="J1307" s="56">
        <f>SUM(J1306:J1306)</f>
        <v>35700000</v>
      </c>
      <c r="K1307" s="60"/>
      <c r="L1307" s="60">
        <f>SUM(J1306:K1306)</f>
        <v>35700000</v>
      </c>
    </row>
    <row r="1308" spans="1:23" ht="15" x14ac:dyDescent="0.25">
      <c r="B1308" s="49"/>
      <c r="D1308" s="519"/>
      <c r="E1308" s="579"/>
      <c r="F1308" s="311"/>
      <c r="G1308" s="47"/>
      <c r="H1308" s="315"/>
      <c r="I1308" s="26"/>
      <c r="J1308" s="30"/>
      <c r="K1308" s="30"/>
      <c r="L1308" s="61"/>
    </row>
    <row r="1309" spans="1:23" ht="22.5" x14ac:dyDescent="0.2">
      <c r="A1309" s="520"/>
      <c r="B1309" s="49"/>
      <c r="D1309" s="49"/>
      <c r="E1309" s="581" t="s">
        <v>251</v>
      </c>
      <c r="F1309" s="391"/>
      <c r="G1309" s="334"/>
      <c r="H1309" s="393"/>
      <c r="I1309" s="339" t="s">
        <v>834</v>
      </c>
      <c r="J1309" s="259"/>
      <c r="K1309" s="80"/>
      <c r="L1309" s="260"/>
    </row>
    <row r="1310" spans="1:23" x14ac:dyDescent="0.2">
      <c r="A1310" s="520"/>
      <c r="B1310" s="49"/>
      <c r="D1310" s="49"/>
      <c r="E1310" s="582"/>
      <c r="F1310" s="977" t="s">
        <v>980</v>
      </c>
      <c r="G1310" s="978"/>
      <c r="H1310" s="979" t="s">
        <v>46</v>
      </c>
      <c r="I1310" s="980" t="s">
        <v>10</v>
      </c>
      <c r="J1310" s="981">
        <f>600000+500000</f>
        <v>1100000</v>
      </c>
      <c r="K1310" s="982"/>
      <c r="L1310" s="983">
        <f>SUM(J1310:K1310)</f>
        <v>1100000</v>
      </c>
      <c r="M1310" s="991"/>
      <c r="N1310" s="942"/>
      <c r="O1310" s="991"/>
      <c r="P1310" s="943"/>
      <c r="Q1310" s="992"/>
      <c r="R1310" s="992"/>
      <c r="S1310" s="992"/>
      <c r="T1310" s="992"/>
      <c r="U1310" s="992"/>
      <c r="V1310" s="992"/>
      <c r="W1310" s="992"/>
    </row>
    <row r="1311" spans="1:23" x14ac:dyDescent="0.2">
      <c r="B1311" s="49"/>
      <c r="D1311" s="519"/>
      <c r="E1311" s="579"/>
      <c r="F1311" s="835">
        <v>240</v>
      </c>
      <c r="G1311" s="836"/>
      <c r="H1311" s="837" t="s">
        <v>270</v>
      </c>
      <c r="I1311" s="999" t="s">
        <v>20</v>
      </c>
      <c r="J1311" s="937">
        <f>549150301.1+1500000</f>
        <v>550650301.10000002</v>
      </c>
      <c r="K1311" s="214"/>
      <c r="L1311" s="214">
        <f>SUM(J1311:K1311)</f>
        <v>550650301.10000002</v>
      </c>
      <c r="M1311" s="991"/>
      <c r="N1311" s="942"/>
      <c r="O1311" s="991"/>
      <c r="P1311" s="943"/>
      <c r="Q1311" s="992"/>
      <c r="R1311" s="992"/>
      <c r="S1311" s="992"/>
      <c r="T1311" s="992"/>
      <c r="U1311" s="992"/>
      <c r="V1311" s="992"/>
      <c r="W1311" s="992"/>
    </row>
    <row r="1312" spans="1:23" x14ac:dyDescent="0.2">
      <c r="B1312" s="49"/>
      <c r="D1312" s="519"/>
      <c r="E1312" s="579"/>
      <c r="F1312" s="835"/>
      <c r="G1312" s="984" t="s">
        <v>37</v>
      </c>
      <c r="H1312" s="835"/>
      <c r="I1312" s="999" t="s">
        <v>38</v>
      </c>
      <c r="J1312" s="937">
        <f>SUM(J1314-J1313)</f>
        <v>83623950</v>
      </c>
      <c r="K1312" s="936"/>
      <c r="L1312" s="214">
        <f t="shared" ref="L1312:L1314" si="64">SUM(J1312:K1312)</f>
        <v>83623950</v>
      </c>
      <c r="M1312" s="991"/>
      <c r="N1312" s="942"/>
      <c r="O1312" s="991"/>
      <c r="P1312" s="943"/>
      <c r="Q1312" s="992"/>
      <c r="R1312" s="992"/>
      <c r="S1312" s="992"/>
      <c r="T1312" s="992"/>
      <c r="U1312" s="992"/>
      <c r="V1312" s="992"/>
      <c r="W1312" s="992"/>
    </row>
    <row r="1313" spans="2:23" x14ac:dyDescent="0.2">
      <c r="B1313" s="49"/>
      <c r="D1313" s="519"/>
      <c r="E1313" s="579"/>
      <c r="F1313" s="835"/>
      <c r="G1313" s="984" t="s">
        <v>673</v>
      </c>
      <c r="H1313" s="1000"/>
      <c r="I1313" s="999" t="s">
        <v>674</v>
      </c>
      <c r="J1313" s="937">
        <v>468126351.10000002</v>
      </c>
      <c r="K1313" s="936"/>
      <c r="L1313" s="214">
        <f t="shared" si="64"/>
        <v>468126351.10000002</v>
      </c>
      <c r="M1313" s="991"/>
      <c r="N1313" s="942"/>
      <c r="O1313" s="991"/>
      <c r="P1313" s="943"/>
      <c r="Q1313" s="992"/>
      <c r="R1313" s="992"/>
      <c r="S1313" s="992"/>
      <c r="T1313" s="992"/>
      <c r="U1313" s="992"/>
      <c r="V1313" s="992"/>
      <c r="W1313" s="992"/>
    </row>
    <row r="1314" spans="2:23" ht="15" x14ac:dyDescent="0.25">
      <c r="B1314" s="49"/>
      <c r="D1314" s="519"/>
      <c r="E1314" s="579"/>
      <c r="F1314" s="835"/>
      <c r="G1314" s="836"/>
      <c r="H1314" s="985"/>
      <c r="I1314" s="1001" t="s">
        <v>710</v>
      </c>
      <c r="J1314" s="993">
        <f>SUM(J1310:J1311)</f>
        <v>551750301.10000002</v>
      </c>
      <c r="K1314" s="936"/>
      <c r="L1314" s="936">
        <f t="shared" si="64"/>
        <v>551750301.10000002</v>
      </c>
      <c r="M1314" s="991"/>
      <c r="N1314" s="991"/>
      <c r="O1314" s="991"/>
      <c r="P1314" s="943"/>
      <c r="Q1314" s="992"/>
      <c r="R1314" s="992"/>
      <c r="S1314" s="992"/>
      <c r="T1314" s="992"/>
      <c r="U1314" s="992"/>
      <c r="V1314" s="992"/>
      <c r="W1314" s="992"/>
    </row>
    <row r="1315" spans="2:23" x14ac:dyDescent="0.2">
      <c r="B1315" s="49"/>
      <c r="D1315" s="519"/>
      <c r="E1315" s="579"/>
      <c r="F1315" s="311"/>
      <c r="G1315" s="47"/>
      <c r="H1315" s="312"/>
      <c r="I1315" s="18"/>
      <c r="J1315" s="224"/>
      <c r="K1315" s="30"/>
      <c r="L1315" s="61"/>
    </row>
    <row r="1316" spans="2:23" ht="22.5" x14ac:dyDescent="0.2">
      <c r="B1316" s="49"/>
      <c r="D1316" s="519"/>
      <c r="E1316" s="581" t="s">
        <v>251</v>
      </c>
      <c r="F1316" s="391"/>
      <c r="G1316" s="334"/>
      <c r="H1316" s="393"/>
      <c r="I1316" s="339" t="s">
        <v>835</v>
      </c>
      <c r="J1316" s="259"/>
      <c r="K1316" s="80"/>
      <c r="L1316" s="260"/>
      <c r="O1316" s="991"/>
    </row>
    <row r="1317" spans="2:23" x14ac:dyDescent="0.2">
      <c r="B1317" s="49"/>
      <c r="D1317" s="519"/>
      <c r="E1317" s="582"/>
      <c r="F1317" s="882" t="s">
        <v>979</v>
      </c>
      <c r="G1317" s="883"/>
      <c r="H1317" s="884" t="s">
        <v>46</v>
      </c>
      <c r="I1317" s="898" t="s">
        <v>10</v>
      </c>
      <c r="J1317" s="908">
        <v>200000</v>
      </c>
      <c r="K1317" s="909"/>
      <c r="L1317" s="887">
        <f>SUM(J1317:K1317)</f>
        <v>200000</v>
      </c>
    </row>
    <row r="1318" spans="2:23" x14ac:dyDescent="0.2">
      <c r="B1318" s="49"/>
      <c r="D1318" s="519"/>
      <c r="E1318" s="579"/>
      <c r="F1318" s="311">
        <v>241</v>
      </c>
      <c r="G1318" s="47"/>
      <c r="H1318" s="441">
        <v>511</v>
      </c>
      <c r="I1318" s="289" t="s">
        <v>20</v>
      </c>
      <c r="J1318" s="64">
        <v>31385465.420000002</v>
      </c>
      <c r="K1318" s="59"/>
      <c r="L1318" s="59">
        <f>SUM(J1318:K1318)</f>
        <v>31385465.420000002</v>
      </c>
      <c r="N1318" s="942"/>
    </row>
    <row r="1319" spans="2:23" x14ac:dyDescent="0.2">
      <c r="B1319" s="49"/>
      <c r="D1319" s="519"/>
      <c r="E1319" s="579"/>
      <c r="F1319" s="311"/>
      <c r="G1319" s="55" t="s">
        <v>37</v>
      </c>
      <c r="H1319" s="470"/>
      <c r="I1319" s="220" t="s">
        <v>38</v>
      </c>
      <c r="J1319" s="64">
        <f>SUM(J1317:J1318)</f>
        <v>31585465.420000002</v>
      </c>
      <c r="K1319" s="60"/>
      <c r="L1319" s="59">
        <f>SUM(J1318:K1318)</f>
        <v>31385465.420000002</v>
      </c>
    </row>
    <row r="1320" spans="2:23" ht="15" x14ac:dyDescent="0.25">
      <c r="B1320" s="49"/>
      <c r="D1320" s="519"/>
      <c r="E1320" s="579"/>
      <c r="F1320" s="311"/>
      <c r="G1320" s="47"/>
      <c r="H1320" s="325"/>
      <c r="I1320" s="229" t="s">
        <v>710</v>
      </c>
      <c r="J1320" s="56">
        <f>SUM(J1317:J1318)</f>
        <v>31585465.420000002</v>
      </c>
      <c r="K1320" s="60"/>
      <c r="L1320" s="60">
        <f>SUM(J1319:K1319)</f>
        <v>31585465.420000002</v>
      </c>
    </row>
    <row r="1321" spans="2:23" ht="15" x14ac:dyDescent="0.25">
      <c r="B1321" s="49"/>
      <c r="D1321" s="519"/>
      <c r="E1321" s="579"/>
      <c r="F1321" s="311"/>
      <c r="G1321" s="47"/>
      <c r="H1321" s="325"/>
      <c r="I1321" s="269"/>
      <c r="J1321" s="224"/>
      <c r="K1321" s="30"/>
      <c r="L1321" s="61"/>
    </row>
    <row r="1322" spans="2:23" ht="22.5" x14ac:dyDescent="0.2">
      <c r="B1322" s="49"/>
      <c r="D1322" s="519"/>
      <c r="E1322" s="581" t="s">
        <v>251</v>
      </c>
      <c r="F1322" s="391"/>
      <c r="G1322" s="334"/>
      <c r="H1322" s="393"/>
      <c r="I1322" s="339" t="s">
        <v>1049</v>
      </c>
      <c r="J1322" s="259"/>
      <c r="K1322" s="80"/>
      <c r="L1322" s="260"/>
    </row>
    <row r="1323" spans="2:23" x14ac:dyDescent="0.2">
      <c r="B1323" s="49"/>
      <c r="D1323" s="519"/>
      <c r="E1323" s="582"/>
      <c r="F1323" s="882" t="s">
        <v>1050</v>
      </c>
      <c r="G1323" s="883"/>
      <c r="H1323" s="884" t="s">
        <v>46</v>
      </c>
      <c r="I1323" s="898" t="s">
        <v>10</v>
      </c>
      <c r="J1323" s="908">
        <v>200000</v>
      </c>
      <c r="K1323" s="909"/>
      <c r="L1323" s="887">
        <f>SUM(J1323:K1323)</f>
        <v>200000</v>
      </c>
    </row>
    <row r="1324" spans="2:23" x14ac:dyDescent="0.2">
      <c r="B1324" s="49"/>
      <c r="D1324" s="519"/>
      <c r="E1324" s="579"/>
      <c r="F1324" s="311" t="s">
        <v>1051</v>
      </c>
      <c r="G1324" s="47"/>
      <c r="H1324" s="441">
        <v>511</v>
      </c>
      <c r="I1324" s="289" t="s">
        <v>20</v>
      </c>
      <c r="J1324" s="64">
        <v>40000000</v>
      </c>
      <c r="K1324" s="59"/>
      <c r="L1324" s="59">
        <f>SUM(J1324:K1324)</f>
        <v>40000000</v>
      </c>
    </row>
    <row r="1325" spans="2:23" x14ac:dyDescent="0.2">
      <c r="B1325" s="49"/>
      <c r="D1325" s="519"/>
      <c r="E1325" s="579"/>
      <c r="F1325" s="311"/>
      <c r="G1325" s="55" t="s">
        <v>37</v>
      </c>
      <c r="H1325" s="470"/>
      <c r="I1325" s="220" t="s">
        <v>38</v>
      </c>
      <c r="J1325" s="64">
        <f>SUM(J1323:J1324)</f>
        <v>40200000</v>
      </c>
      <c r="K1325" s="60"/>
      <c r="L1325" s="59">
        <f>SUM(J1324:K1324)</f>
        <v>40000000</v>
      </c>
    </row>
    <row r="1326" spans="2:23" ht="15" x14ac:dyDescent="0.25">
      <c r="B1326" s="49"/>
      <c r="D1326" s="519"/>
      <c r="E1326" s="579"/>
      <c r="F1326" s="311"/>
      <c r="G1326" s="47"/>
      <c r="H1326" s="325"/>
      <c r="I1326" s="229" t="s">
        <v>710</v>
      </c>
      <c r="J1326" s="56">
        <f>SUM(J1323:J1324)</f>
        <v>40200000</v>
      </c>
      <c r="K1326" s="60"/>
      <c r="L1326" s="60">
        <f>SUM(J1325:K1325)</f>
        <v>40200000</v>
      </c>
    </row>
    <row r="1327" spans="2:23" ht="15" x14ac:dyDescent="0.25">
      <c r="B1327" s="49"/>
      <c r="D1327" s="519"/>
      <c r="E1327" s="579"/>
      <c r="F1327" s="311"/>
      <c r="G1327" s="47"/>
      <c r="H1327" s="325"/>
      <c r="I1327" s="18"/>
      <c r="J1327" s="224"/>
      <c r="K1327" s="30"/>
      <c r="L1327" s="61"/>
    </row>
    <row r="1328" spans="2:23" x14ac:dyDescent="0.2">
      <c r="B1328" s="49"/>
      <c r="D1328" s="519"/>
      <c r="E1328" s="581" t="s">
        <v>251</v>
      </c>
      <c r="F1328" s="391"/>
      <c r="G1328" s="334"/>
      <c r="H1328" s="393"/>
      <c r="I1328" s="339" t="s">
        <v>833</v>
      </c>
      <c r="J1328" s="259"/>
      <c r="K1328" s="80"/>
      <c r="L1328" s="260"/>
    </row>
    <row r="1329" spans="2:16" x14ac:dyDescent="0.2">
      <c r="B1329" s="49"/>
      <c r="D1329" s="519"/>
      <c r="E1329" s="579"/>
      <c r="F1329" s="311">
        <v>242</v>
      </c>
      <c r="G1329" s="47"/>
      <c r="H1329" s="312" t="s">
        <v>270</v>
      </c>
      <c r="I1329" s="289" t="s">
        <v>20</v>
      </c>
      <c r="J1329" s="64">
        <v>1001000</v>
      </c>
      <c r="K1329" s="59"/>
      <c r="L1329" s="59">
        <f>SUM(J1329:K1329)</f>
        <v>1001000</v>
      </c>
    </row>
    <row r="1330" spans="2:16" x14ac:dyDescent="0.2">
      <c r="B1330" s="49"/>
      <c r="D1330" s="519"/>
      <c r="E1330" s="579"/>
      <c r="F1330" s="311"/>
      <c r="G1330" s="55" t="s">
        <v>37</v>
      </c>
      <c r="H1330" s="311"/>
      <c r="I1330" s="289" t="s">
        <v>38</v>
      </c>
      <c r="J1330" s="64">
        <f>SUM(J1332-J1331)</f>
        <v>1000000</v>
      </c>
      <c r="K1330" s="60"/>
      <c r="L1330" s="59">
        <f t="shared" ref="L1330:L1332" si="65">SUM(J1330:K1330)</f>
        <v>1000000</v>
      </c>
    </row>
    <row r="1331" spans="2:16" x14ac:dyDescent="0.2">
      <c r="B1331" s="49"/>
      <c r="D1331" s="519"/>
      <c r="E1331" s="579"/>
      <c r="F1331" s="311"/>
      <c r="G1331" s="55" t="s">
        <v>113</v>
      </c>
      <c r="H1331" s="441"/>
      <c r="I1331" s="289" t="s">
        <v>280</v>
      </c>
      <c r="J1331" s="64">
        <v>1000</v>
      </c>
      <c r="K1331" s="60"/>
      <c r="L1331" s="59">
        <f t="shared" si="65"/>
        <v>1000</v>
      </c>
    </row>
    <row r="1332" spans="2:16" ht="15" x14ac:dyDescent="0.25">
      <c r="B1332" s="49"/>
      <c r="D1332" s="519"/>
      <c r="E1332" s="579"/>
      <c r="F1332" s="311"/>
      <c r="G1332" s="47"/>
      <c r="H1332" s="315"/>
      <c r="I1332" s="229" t="s">
        <v>710</v>
      </c>
      <c r="J1332" s="56">
        <f>SUM(J1329:J1329)</f>
        <v>1001000</v>
      </c>
      <c r="K1332" s="60"/>
      <c r="L1332" s="60">
        <f t="shared" si="65"/>
        <v>1001000</v>
      </c>
    </row>
    <row r="1333" spans="2:16" x14ac:dyDescent="0.2">
      <c r="B1333" s="49"/>
      <c r="D1333" s="519"/>
      <c r="E1333" s="579"/>
      <c r="F1333" s="311"/>
      <c r="G1333" s="47"/>
      <c r="H1333" s="312"/>
      <c r="I1333" s="18"/>
      <c r="J1333" s="224"/>
      <c r="K1333" s="30"/>
      <c r="L1333" s="61"/>
    </row>
    <row r="1334" spans="2:16" ht="22.5" x14ac:dyDescent="0.2">
      <c r="B1334" s="49"/>
      <c r="D1334" s="519"/>
      <c r="E1334" s="581" t="s">
        <v>251</v>
      </c>
      <c r="F1334" s="391"/>
      <c r="G1334" s="334"/>
      <c r="H1334" s="393"/>
      <c r="I1334" s="339" t="s">
        <v>761</v>
      </c>
      <c r="J1334" s="259"/>
      <c r="K1334" s="80"/>
      <c r="L1334" s="260"/>
    </row>
    <row r="1335" spans="2:16" ht="14.25" customHeight="1" x14ac:dyDescent="0.2">
      <c r="B1335" s="49"/>
      <c r="D1335" s="519"/>
      <c r="E1335" s="579"/>
      <c r="F1335" s="311">
        <v>243</v>
      </c>
      <c r="G1335" s="230"/>
      <c r="H1335" s="311">
        <v>424</v>
      </c>
      <c r="I1335" s="301" t="s">
        <v>10</v>
      </c>
      <c r="J1335" s="64">
        <v>6000000</v>
      </c>
      <c r="K1335" s="59"/>
      <c r="L1335" s="59">
        <f>SUM(J1335:K1335)</f>
        <v>6000000</v>
      </c>
    </row>
    <row r="1336" spans="2:16" x14ac:dyDescent="0.2">
      <c r="B1336" s="49"/>
      <c r="D1336" s="519"/>
      <c r="E1336" s="579"/>
      <c r="F1336" s="311"/>
      <c r="G1336" s="55" t="s">
        <v>37</v>
      </c>
      <c r="H1336" s="312"/>
      <c r="I1336" s="220" t="s">
        <v>38</v>
      </c>
      <c r="J1336" s="64">
        <f>SUM(J1335)</f>
        <v>6000000</v>
      </c>
      <c r="K1336" s="60"/>
      <c r="L1336" s="59">
        <f>SUM(J1335:K1335)</f>
        <v>6000000</v>
      </c>
    </row>
    <row r="1337" spans="2:16" ht="15" x14ac:dyDescent="0.25">
      <c r="B1337" s="49"/>
      <c r="D1337" s="519"/>
      <c r="E1337" s="579"/>
      <c r="F1337" s="311"/>
      <c r="G1337" s="47"/>
      <c r="H1337" s="315"/>
      <c r="I1337" s="229" t="s">
        <v>710</v>
      </c>
      <c r="J1337" s="56">
        <f>SUM(J1335:J1335)</f>
        <v>6000000</v>
      </c>
      <c r="K1337" s="60"/>
      <c r="L1337" s="60">
        <f>SUM(J1336:K1336)</f>
        <v>6000000</v>
      </c>
    </row>
    <row r="1338" spans="2:16" x14ac:dyDescent="0.2">
      <c r="B1338" s="49"/>
      <c r="D1338" s="519"/>
      <c r="E1338" s="579"/>
      <c r="F1338" s="311"/>
      <c r="G1338" s="47"/>
      <c r="H1338" s="312"/>
      <c r="I1338" s="26"/>
      <c r="J1338" s="224"/>
      <c r="K1338" s="30"/>
      <c r="L1338" s="61"/>
      <c r="N1338" s="188"/>
      <c r="O1338" s="188"/>
      <c r="P1338" s="927"/>
    </row>
    <row r="1339" spans="2:16" x14ac:dyDescent="0.2">
      <c r="B1339" s="49"/>
      <c r="D1339" s="519"/>
      <c r="E1339" s="581" t="s">
        <v>251</v>
      </c>
      <c r="F1339" s="391"/>
      <c r="G1339" s="334"/>
      <c r="H1339" s="393"/>
      <c r="I1339" s="401" t="s">
        <v>760</v>
      </c>
      <c r="J1339" s="261"/>
      <c r="K1339" s="326"/>
      <c r="L1339" s="57"/>
      <c r="N1339" s="188"/>
      <c r="O1339" s="188"/>
      <c r="P1339" s="927"/>
    </row>
    <row r="1340" spans="2:16" x14ac:dyDescent="0.2">
      <c r="B1340" s="49"/>
      <c r="D1340" s="519"/>
      <c r="E1340" s="579"/>
      <c r="F1340" s="311">
        <v>244</v>
      </c>
      <c r="G1340" s="47"/>
      <c r="H1340" s="311">
        <v>512</v>
      </c>
      <c r="I1340" s="220" t="s">
        <v>21</v>
      </c>
      <c r="J1340" s="64">
        <v>500000</v>
      </c>
      <c r="K1340" s="59"/>
      <c r="L1340" s="59">
        <f>SUM(J1340:K1340)</f>
        <v>500000</v>
      </c>
      <c r="N1340" s="188"/>
      <c r="O1340" s="188"/>
      <c r="P1340" s="927"/>
    </row>
    <row r="1341" spans="2:16" x14ac:dyDescent="0.2">
      <c r="B1341" s="49"/>
      <c r="D1341" s="519"/>
      <c r="E1341" s="579"/>
      <c r="F1341" s="311"/>
      <c r="G1341" s="55" t="s">
        <v>37</v>
      </c>
      <c r="H1341" s="312"/>
      <c r="I1341" s="220" t="s">
        <v>38</v>
      </c>
      <c r="J1341" s="64">
        <f>SUM(J1340)</f>
        <v>500000</v>
      </c>
      <c r="K1341" s="60"/>
      <c r="L1341" s="59">
        <f>SUM(J1340:K1340)</f>
        <v>500000</v>
      </c>
      <c r="N1341" s="188"/>
      <c r="O1341" s="188"/>
      <c r="P1341" s="927"/>
    </row>
    <row r="1342" spans="2:16" ht="15" x14ac:dyDescent="0.25">
      <c r="B1342" s="49"/>
      <c r="D1342" s="519"/>
      <c r="E1342" s="579"/>
      <c r="F1342" s="311"/>
      <c r="G1342" s="47"/>
      <c r="H1342" s="315"/>
      <c r="I1342" s="229" t="s">
        <v>710</v>
      </c>
      <c r="J1342" s="56">
        <f>SUM(J1341)</f>
        <v>500000</v>
      </c>
      <c r="K1342" s="60"/>
      <c r="L1342" s="60">
        <f>SUM(J1341:K1341)</f>
        <v>500000</v>
      </c>
      <c r="N1342" s="188"/>
      <c r="O1342" s="188"/>
      <c r="P1342" s="927"/>
    </row>
    <row r="1343" spans="2:16" ht="15" x14ac:dyDescent="0.25">
      <c r="B1343" s="49"/>
      <c r="D1343" s="519"/>
      <c r="E1343" s="579"/>
      <c r="F1343" s="311"/>
      <c r="G1343" s="47"/>
      <c r="H1343" s="315"/>
      <c r="I1343" s="26"/>
      <c r="J1343" s="224"/>
      <c r="K1343" s="30"/>
      <c r="L1343" s="61"/>
      <c r="N1343" s="188"/>
      <c r="O1343" s="188"/>
      <c r="P1343" s="927"/>
    </row>
    <row r="1344" spans="2:16" ht="22.5" x14ac:dyDescent="0.2">
      <c r="B1344" s="49"/>
      <c r="D1344" s="519"/>
      <c r="E1344" s="581" t="s">
        <v>251</v>
      </c>
      <c r="F1344" s="391"/>
      <c r="G1344" s="407"/>
      <c r="H1344" s="393"/>
      <c r="I1344" s="339" t="s">
        <v>832</v>
      </c>
      <c r="J1344" s="259"/>
      <c r="K1344" s="80"/>
      <c r="L1344" s="260"/>
      <c r="N1344" s="188"/>
      <c r="O1344" s="188"/>
      <c r="P1344" s="927"/>
    </row>
    <row r="1345" spans="2:16" x14ac:dyDescent="0.2">
      <c r="B1345" s="49"/>
      <c r="D1345" s="519"/>
      <c r="E1345" s="579"/>
      <c r="F1345" s="311">
        <v>245</v>
      </c>
      <c r="G1345" s="47"/>
      <c r="H1345" s="312" t="s">
        <v>270</v>
      </c>
      <c r="I1345" s="220" t="s">
        <v>20</v>
      </c>
      <c r="J1345" s="64">
        <f>154857247.87-27112.53</f>
        <v>154830135.34</v>
      </c>
      <c r="K1345" s="60"/>
      <c r="L1345" s="59">
        <f>SUM(J1345:K1345)</f>
        <v>154830135.34</v>
      </c>
      <c r="N1345" s="188"/>
      <c r="O1345" s="188"/>
      <c r="P1345" s="927"/>
    </row>
    <row r="1346" spans="2:16" x14ac:dyDescent="0.2">
      <c r="B1346" s="49"/>
      <c r="D1346" s="519"/>
      <c r="E1346" s="579"/>
      <c r="F1346" s="311"/>
      <c r="G1346" s="55" t="s">
        <v>37</v>
      </c>
      <c r="H1346" s="312"/>
      <c r="I1346" s="220" t="s">
        <v>38</v>
      </c>
      <c r="J1346" s="64">
        <f>SUM(J1348-J1347)</f>
        <v>16122484.569999993</v>
      </c>
      <c r="K1346" s="60"/>
      <c r="L1346" s="59">
        <f t="shared" ref="L1346:L1348" si="66">SUM(J1346:K1346)</f>
        <v>16122484.569999993</v>
      </c>
      <c r="M1346" s="154"/>
      <c r="N1346" s="188"/>
      <c r="O1346" s="188"/>
      <c r="P1346" s="927"/>
    </row>
    <row r="1347" spans="2:16" x14ac:dyDescent="0.2">
      <c r="B1347" s="49"/>
      <c r="D1347" s="519"/>
      <c r="E1347" s="579"/>
      <c r="F1347" s="311"/>
      <c r="G1347" s="55" t="s">
        <v>113</v>
      </c>
      <c r="H1347" s="312"/>
      <c r="I1347" s="220" t="s">
        <v>280</v>
      </c>
      <c r="J1347" s="64">
        <v>138707650.77000001</v>
      </c>
      <c r="K1347" s="60"/>
      <c r="L1347" s="59">
        <f t="shared" si="66"/>
        <v>138707650.77000001</v>
      </c>
      <c r="N1347" s="188"/>
      <c r="O1347" s="188"/>
      <c r="P1347" s="927"/>
    </row>
    <row r="1348" spans="2:16" ht="15" x14ac:dyDescent="0.25">
      <c r="B1348" s="49"/>
      <c r="D1348" s="519"/>
      <c r="E1348" s="579"/>
      <c r="F1348" s="311"/>
      <c r="G1348" s="47"/>
      <c r="H1348" s="315"/>
      <c r="I1348" s="229" t="s">
        <v>710</v>
      </c>
      <c r="J1348" s="56">
        <f>SUM(J1345:J1345)</f>
        <v>154830135.34</v>
      </c>
      <c r="K1348" s="60"/>
      <c r="L1348" s="60">
        <f t="shared" si="66"/>
        <v>154830135.34</v>
      </c>
      <c r="N1348" s="188"/>
      <c r="O1348" s="188"/>
      <c r="P1348" s="927"/>
    </row>
    <row r="1349" spans="2:16" ht="15" x14ac:dyDescent="0.25">
      <c r="B1349" s="49"/>
      <c r="D1349" s="519"/>
      <c r="E1349" s="579"/>
      <c r="F1349" s="311"/>
      <c r="G1349" s="47"/>
      <c r="H1349" s="315"/>
      <c r="I1349" s="26"/>
      <c r="J1349" s="224"/>
      <c r="K1349" s="30"/>
      <c r="L1349" s="61"/>
      <c r="N1349" s="188"/>
      <c r="O1349" s="188"/>
      <c r="P1349" s="927"/>
    </row>
    <row r="1350" spans="2:16" ht="22.5" x14ac:dyDescent="0.2">
      <c r="B1350" s="49"/>
      <c r="D1350" s="519"/>
      <c r="E1350" s="581" t="s">
        <v>251</v>
      </c>
      <c r="F1350" s="391"/>
      <c r="G1350" s="334"/>
      <c r="H1350" s="393"/>
      <c r="I1350" s="339" t="s">
        <v>831</v>
      </c>
      <c r="J1350" s="259"/>
      <c r="K1350" s="80"/>
      <c r="L1350" s="260"/>
      <c r="N1350" s="188"/>
      <c r="O1350" s="188"/>
      <c r="P1350" s="1002"/>
    </row>
    <row r="1351" spans="2:16" x14ac:dyDescent="0.2">
      <c r="B1351" s="49"/>
      <c r="D1351" s="519"/>
      <c r="E1351" s="582"/>
      <c r="F1351" s="882" t="s">
        <v>978</v>
      </c>
      <c r="G1351" s="883"/>
      <c r="H1351" s="884" t="s">
        <v>46</v>
      </c>
      <c r="I1351" s="898" t="s">
        <v>10</v>
      </c>
      <c r="J1351" s="908">
        <v>200000</v>
      </c>
      <c r="K1351" s="909"/>
      <c r="L1351" s="887">
        <f>SUM(J1351:K1351)</f>
        <v>200000</v>
      </c>
      <c r="N1351" s="188"/>
      <c r="O1351" s="188"/>
      <c r="P1351" s="1002"/>
    </row>
    <row r="1352" spans="2:16" x14ac:dyDescent="0.2">
      <c r="B1352" s="49"/>
      <c r="D1352" s="519"/>
      <c r="E1352" s="579"/>
      <c r="F1352" s="311">
        <v>246</v>
      </c>
      <c r="G1352" s="47"/>
      <c r="H1352" s="312" t="s">
        <v>270</v>
      </c>
      <c r="I1352" s="220" t="s">
        <v>20</v>
      </c>
      <c r="J1352" s="377">
        <v>56707774.719999999</v>
      </c>
      <c r="K1352" s="60"/>
      <c r="L1352" s="59">
        <f>SUM(J1352:K1352)</f>
        <v>56707774.719999999</v>
      </c>
      <c r="N1352" s="929"/>
      <c r="O1352" s="188"/>
      <c r="P1352" s="1002"/>
    </row>
    <row r="1353" spans="2:16" ht="15" x14ac:dyDescent="0.2">
      <c r="B1353" s="49"/>
      <c r="D1353" s="519"/>
      <c r="E1353" s="579"/>
      <c r="F1353" s="311"/>
      <c r="G1353" s="55" t="s">
        <v>37</v>
      </c>
      <c r="H1353" s="474"/>
      <c r="I1353" s="220" t="s">
        <v>38</v>
      </c>
      <c r="J1353" s="64">
        <f>SUM(J1355-J1354)</f>
        <v>37865607.810000002</v>
      </c>
      <c r="K1353" s="60"/>
      <c r="L1353" s="59">
        <f t="shared" ref="L1353:L1355" si="67">SUM(J1353:K1353)</f>
        <v>37865607.810000002</v>
      </c>
      <c r="N1353" s="188"/>
      <c r="O1353" s="188"/>
      <c r="P1353" s="1002"/>
    </row>
    <row r="1354" spans="2:16" x14ac:dyDescent="0.2">
      <c r="B1354" s="49"/>
      <c r="D1354" s="519"/>
      <c r="E1354" s="579"/>
      <c r="F1354" s="311"/>
      <c r="G1354" s="55" t="s">
        <v>113</v>
      </c>
      <c r="H1354" s="312"/>
      <c r="I1354" s="220" t="s">
        <v>280</v>
      </c>
      <c r="J1354" s="64">
        <v>19042166.91</v>
      </c>
      <c r="K1354" s="59"/>
      <c r="L1354" s="59">
        <f t="shared" si="67"/>
        <v>19042166.91</v>
      </c>
      <c r="N1354" s="188"/>
      <c r="O1354" s="188"/>
      <c r="P1354" s="1002"/>
    </row>
    <row r="1355" spans="2:16" ht="15" x14ac:dyDescent="0.25">
      <c r="B1355" s="49"/>
      <c r="D1355" s="519"/>
      <c r="E1355" s="579"/>
      <c r="F1355" s="311"/>
      <c r="G1355" s="47"/>
      <c r="H1355" s="315"/>
      <c r="I1355" s="229" t="s">
        <v>710</v>
      </c>
      <c r="J1355" s="56">
        <f>SUM(J1351:J1352)</f>
        <v>56907774.719999999</v>
      </c>
      <c r="K1355" s="60"/>
      <c r="L1355" s="60">
        <f t="shared" si="67"/>
        <v>56907774.719999999</v>
      </c>
      <c r="N1355" s="188"/>
      <c r="O1355" s="188"/>
      <c r="P1355" s="1002"/>
    </row>
    <row r="1356" spans="2:16" x14ac:dyDescent="0.2">
      <c r="B1356" s="49"/>
      <c r="D1356" s="519"/>
      <c r="E1356" s="579"/>
      <c r="F1356" s="311"/>
      <c r="G1356" s="47"/>
      <c r="H1356" s="312"/>
      <c r="I1356" s="26"/>
      <c r="J1356" s="224"/>
      <c r="K1356" s="30"/>
      <c r="L1356" s="61"/>
      <c r="N1356" s="188"/>
      <c r="O1356" s="188"/>
      <c r="P1356" s="927"/>
    </row>
    <row r="1357" spans="2:16" ht="22.5" x14ac:dyDescent="0.2">
      <c r="B1357" s="49"/>
      <c r="D1357" s="519"/>
      <c r="E1357" s="581" t="s">
        <v>251</v>
      </c>
      <c r="F1357" s="391"/>
      <c r="G1357" s="407"/>
      <c r="H1357" s="393"/>
      <c r="I1357" s="401" t="s">
        <v>830</v>
      </c>
      <c r="J1357" s="261"/>
      <c r="K1357" s="326"/>
      <c r="L1357" s="57"/>
      <c r="N1357" s="929"/>
      <c r="O1357" s="188"/>
      <c r="P1357" s="927"/>
    </row>
    <row r="1358" spans="2:16" x14ac:dyDescent="0.2">
      <c r="B1358" s="49"/>
      <c r="D1358" s="519"/>
      <c r="E1358" s="579"/>
      <c r="F1358" s="311">
        <v>247</v>
      </c>
      <c r="G1358" s="47"/>
      <c r="H1358" s="312" t="s">
        <v>270</v>
      </c>
      <c r="I1358" s="220" t="s">
        <v>20</v>
      </c>
      <c r="J1358" s="64">
        <v>1800000</v>
      </c>
      <c r="K1358" s="59"/>
      <c r="L1358" s="59">
        <f>SUM(J1358:K1358)</f>
        <v>1800000</v>
      </c>
      <c r="N1358" s="929"/>
      <c r="O1358" s="188"/>
      <c r="P1358" s="1002"/>
    </row>
    <row r="1359" spans="2:16" x14ac:dyDescent="0.2">
      <c r="B1359" s="49"/>
      <c r="D1359" s="519"/>
      <c r="E1359" s="579"/>
      <c r="F1359" s="311"/>
      <c r="G1359" s="55" t="s">
        <v>37</v>
      </c>
      <c r="H1359" s="312"/>
      <c r="I1359" s="220" t="s">
        <v>38</v>
      </c>
      <c r="J1359" s="64">
        <f>SUM(J1358)</f>
        <v>1800000</v>
      </c>
      <c r="K1359" s="59"/>
      <c r="L1359" s="59">
        <f>SUM(J1358:K1358)</f>
        <v>1800000</v>
      </c>
      <c r="N1359" s="929"/>
      <c r="O1359" s="188"/>
      <c r="P1359" s="927"/>
    </row>
    <row r="1360" spans="2:16" ht="15" x14ac:dyDescent="0.25">
      <c r="B1360" s="49"/>
      <c r="D1360" s="519"/>
      <c r="E1360" s="579"/>
      <c r="F1360" s="311"/>
      <c r="G1360" s="47"/>
      <c r="H1360" s="315"/>
      <c r="I1360" s="229" t="s">
        <v>710</v>
      </c>
      <c r="J1360" s="56">
        <f>SUM(J1359)</f>
        <v>1800000</v>
      </c>
      <c r="K1360" s="60"/>
      <c r="L1360" s="60">
        <f>SUM(J1359:K1359)</f>
        <v>1800000</v>
      </c>
    </row>
    <row r="1361" spans="1:16" ht="15" x14ac:dyDescent="0.25">
      <c r="B1361" s="49"/>
      <c r="D1361" s="519"/>
      <c r="E1361" s="579"/>
      <c r="F1361" s="311"/>
      <c r="G1361" s="47"/>
      <c r="H1361" s="315"/>
      <c r="I1361" s="26"/>
      <c r="J1361" s="224"/>
      <c r="K1361" s="30"/>
      <c r="L1361" s="61"/>
    </row>
    <row r="1362" spans="1:16" ht="33.75" x14ac:dyDescent="0.2">
      <c r="B1362" s="49"/>
      <c r="D1362" s="519"/>
      <c r="E1362" s="581" t="s">
        <v>251</v>
      </c>
      <c r="F1362" s="391"/>
      <c r="G1362" s="334"/>
      <c r="H1362" s="393"/>
      <c r="I1362" s="339" t="s">
        <v>829</v>
      </c>
      <c r="J1362" s="259"/>
      <c r="K1362" s="80"/>
      <c r="L1362" s="260"/>
    </row>
    <row r="1363" spans="1:16" x14ac:dyDescent="0.2">
      <c r="B1363" s="49"/>
      <c r="D1363" s="519"/>
      <c r="E1363" s="582"/>
      <c r="F1363" s="882" t="s">
        <v>977</v>
      </c>
      <c r="G1363" s="883"/>
      <c r="H1363" s="884" t="s">
        <v>46</v>
      </c>
      <c r="I1363" s="898" t="s">
        <v>10</v>
      </c>
      <c r="J1363" s="908">
        <v>200000</v>
      </c>
      <c r="K1363" s="909"/>
      <c r="L1363" s="887">
        <f>SUM(J1363:K1363)</f>
        <v>200000</v>
      </c>
    </row>
    <row r="1364" spans="1:16" x14ac:dyDescent="0.2">
      <c r="B1364" s="49"/>
      <c r="D1364" s="519"/>
      <c r="E1364" s="579"/>
      <c r="F1364" s="311">
        <v>248</v>
      </c>
      <c r="G1364" s="47"/>
      <c r="H1364" s="312" t="s">
        <v>270</v>
      </c>
      <c r="I1364" s="220" t="s">
        <v>20</v>
      </c>
      <c r="J1364" s="64">
        <v>3706584.11</v>
      </c>
      <c r="K1364" s="60"/>
      <c r="L1364" s="59">
        <f>SUM(J1364:K1364)</f>
        <v>3706584.11</v>
      </c>
    </row>
    <row r="1365" spans="1:16" x14ac:dyDescent="0.2">
      <c r="B1365" s="49"/>
      <c r="D1365" s="519"/>
      <c r="E1365" s="579"/>
      <c r="F1365" s="311"/>
      <c r="G1365" s="55" t="s">
        <v>37</v>
      </c>
      <c r="H1365" s="312"/>
      <c r="I1365" s="220" t="s">
        <v>38</v>
      </c>
      <c r="J1365" s="64">
        <f>SUM(J1367-J1366)</f>
        <v>201175.60000000009</v>
      </c>
      <c r="K1365" s="60"/>
      <c r="L1365" s="59">
        <f t="shared" ref="L1365:L1367" si="68">SUM(J1365:K1365)</f>
        <v>201175.60000000009</v>
      </c>
    </row>
    <row r="1366" spans="1:16" x14ac:dyDescent="0.2">
      <c r="B1366" s="49"/>
      <c r="D1366" s="519"/>
      <c r="E1366" s="579"/>
      <c r="F1366" s="311"/>
      <c r="G1366" s="55" t="s">
        <v>113</v>
      </c>
      <c r="H1366" s="312"/>
      <c r="I1366" s="220" t="s">
        <v>280</v>
      </c>
      <c r="J1366" s="64">
        <v>3705408.51</v>
      </c>
      <c r="K1366" s="60"/>
      <c r="L1366" s="59">
        <f t="shared" si="68"/>
        <v>3705408.51</v>
      </c>
    </row>
    <row r="1367" spans="1:16" s="198" customFormat="1" ht="15" x14ac:dyDescent="0.25">
      <c r="A1367" s="50"/>
      <c r="B1367" s="49"/>
      <c r="C1367" s="49"/>
      <c r="D1367" s="519"/>
      <c r="E1367" s="579"/>
      <c r="F1367" s="311"/>
      <c r="G1367" s="47"/>
      <c r="H1367" s="315"/>
      <c r="I1367" s="65" t="s">
        <v>710</v>
      </c>
      <c r="J1367" s="56">
        <f>SUM(J1363:J1364)</f>
        <v>3906584.11</v>
      </c>
      <c r="K1367" s="60"/>
      <c r="L1367" s="60">
        <f t="shared" si="68"/>
        <v>3906584.11</v>
      </c>
      <c r="M1367" s="27"/>
      <c r="N1367" s="502"/>
      <c r="O1367" s="27"/>
      <c r="P1367" s="921"/>
    </row>
    <row r="1368" spans="1:16" x14ac:dyDescent="0.2">
      <c r="B1368" s="49"/>
      <c r="D1368" s="519"/>
      <c r="E1368" s="579"/>
      <c r="F1368" s="311"/>
      <c r="G1368" s="47"/>
      <c r="H1368" s="312"/>
      <c r="I1368" s="26"/>
      <c r="J1368" s="224"/>
      <c r="K1368" s="30"/>
      <c r="L1368" s="61"/>
    </row>
    <row r="1369" spans="1:16" ht="45" x14ac:dyDescent="0.2">
      <c r="B1369" s="49"/>
      <c r="D1369" s="519"/>
      <c r="E1369" s="581" t="s">
        <v>251</v>
      </c>
      <c r="F1369" s="391"/>
      <c r="G1369" s="334"/>
      <c r="H1369" s="393"/>
      <c r="I1369" s="339" t="s">
        <v>759</v>
      </c>
      <c r="J1369" s="259"/>
      <c r="K1369" s="80"/>
      <c r="L1369" s="260"/>
    </row>
    <row r="1370" spans="1:16" x14ac:dyDescent="0.2">
      <c r="B1370" s="49"/>
      <c r="D1370" s="519"/>
      <c r="E1370" s="582"/>
      <c r="F1370" s="882" t="s">
        <v>976</v>
      </c>
      <c r="G1370" s="883"/>
      <c r="H1370" s="884" t="s">
        <v>46</v>
      </c>
      <c r="I1370" s="898" t="s">
        <v>10</v>
      </c>
      <c r="J1370" s="908">
        <v>200000</v>
      </c>
      <c r="K1370" s="909"/>
      <c r="L1370" s="887">
        <f>SUM(J1370:K1370)</f>
        <v>200000</v>
      </c>
    </row>
    <row r="1371" spans="1:16" x14ac:dyDescent="0.2">
      <c r="B1371" s="49"/>
      <c r="D1371" s="519"/>
      <c r="E1371" s="579"/>
      <c r="F1371" s="311">
        <v>249</v>
      </c>
      <c r="G1371" s="47"/>
      <c r="H1371" s="312" t="s">
        <v>270</v>
      </c>
      <c r="I1371" s="220" t="s">
        <v>20</v>
      </c>
      <c r="J1371" s="64">
        <v>4284000</v>
      </c>
      <c r="K1371" s="60"/>
      <c r="L1371" s="59">
        <f>SUM(J1371:K1371)</f>
        <v>4284000</v>
      </c>
    </row>
    <row r="1372" spans="1:16" x14ac:dyDescent="0.2">
      <c r="B1372" s="49"/>
      <c r="D1372" s="519"/>
      <c r="E1372" s="579"/>
      <c r="F1372" s="311"/>
      <c r="G1372" s="55" t="s">
        <v>37</v>
      </c>
      <c r="H1372" s="312"/>
      <c r="I1372" s="220" t="s">
        <v>38</v>
      </c>
      <c r="J1372" s="64">
        <f>SUM(J1370:J1371)</f>
        <v>4484000</v>
      </c>
      <c r="K1372" s="60"/>
      <c r="L1372" s="59">
        <f>SUM(J1372:K1372)</f>
        <v>4484000</v>
      </c>
    </row>
    <row r="1373" spans="1:16" ht="15" x14ac:dyDescent="0.25">
      <c r="B1373" s="49"/>
      <c r="D1373" s="519"/>
      <c r="E1373" s="579"/>
      <c r="F1373" s="311"/>
      <c r="G1373" s="47"/>
      <c r="H1373" s="315"/>
      <c r="I1373" s="65" t="s">
        <v>710</v>
      </c>
      <c r="J1373" s="56">
        <f>SUM(J1372)</f>
        <v>4484000</v>
      </c>
      <c r="K1373" s="60"/>
      <c r="L1373" s="60">
        <f>SUM(J1372:K1372)</f>
        <v>4484000</v>
      </c>
      <c r="M1373" s="188"/>
    </row>
    <row r="1374" spans="1:16" x14ac:dyDescent="0.2">
      <c r="B1374" s="49"/>
      <c r="D1374" s="519"/>
      <c r="E1374" s="579"/>
      <c r="F1374" s="311"/>
      <c r="G1374" s="47"/>
      <c r="H1374" s="312"/>
      <c r="I1374" s="26"/>
      <c r="J1374" s="224"/>
      <c r="K1374" s="30"/>
      <c r="L1374" s="61"/>
      <c r="M1374" s="188"/>
    </row>
    <row r="1375" spans="1:16" ht="28.5" customHeight="1" x14ac:dyDescent="0.2">
      <c r="B1375" s="49"/>
      <c r="D1375" s="519"/>
      <c r="E1375" s="581" t="s">
        <v>251</v>
      </c>
      <c r="F1375" s="391"/>
      <c r="G1375" s="334"/>
      <c r="H1375" s="393"/>
      <c r="I1375" s="339" t="s">
        <v>828</v>
      </c>
      <c r="J1375" s="259"/>
      <c r="K1375" s="80"/>
      <c r="L1375" s="260"/>
    </row>
    <row r="1376" spans="1:16" s="190" customFormat="1" x14ac:dyDescent="0.2">
      <c r="A1376" s="50"/>
      <c r="B1376" s="49"/>
      <c r="C1376" s="49"/>
      <c r="D1376" s="519"/>
      <c r="E1376" s="579"/>
      <c r="F1376" s="311">
        <v>250</v>
      </c>
      <c r="G1376" s="47"/>
      <c r="H1376" s="312" t="s">
        <v>270</v>
      </c>
      <c r="I1376" s="220" t="s">
        <v>20</v>
      </c>
      <c r="J1376" s="64">
        <v>600000</v>
      </c>
      <c r="K1376" s="60"/>
      <c r="L1376" s="59">
        <f>SUM(J1376:K1376)</f>
        <v>600000</v>
      </c>
      <c r="M1376" s="17"/>
      <c r="N1376" s="929"/>
      <c r="O1376" s="188"/>
      <c r="P1376" s="927"/>
    </row>
    <row r="1377" spans="1:16" s="190" customFormat="1" x14ac:dyDescent="0.2">
      <c r="A1377" s="50"/>
      <c r="B1377" s="49"/>
      <c r="C1377" s="49"/>
      <c r="D1377" s="519"/>
      <c r="E1377" s="579"/>
      <c r="F1377" s="311"/>
      <c r="G1377" s="55" t="s">
        <v>37</v>
      </c>
      <c r="H1377" s="312"/>
      <c r="I1377" s="220" t="s">
        <v>38</v>
      </c>
      <c r="J1377" s="64">
        <f>SUM(J1376:J1376)</f>
        <v>600000</v>
      </c>
      <c r="K1377" s="60"/>
      <c r="L1377" s="59">
        <f>SUM(J1376:K1376)</f>
        <v>600000</v>
      </c>
      <c r="M1377" s="17"/>
      <c r="N1377" s="929"/>
      <c r="O1377" s="188"/>
      <c r="P1377" s="927"/>
    </row>
    <row r="1378" spans="1:16" ht="15" x14ac:dyDescent="0.25">
      <c r="B1378" s="49"/>
      <c r="D1378" s="519"/>
      <c r="E1378" s="579"/>
      <c r="F1378" s="311"/>
      <c r="G1378" s="47"/>
      <c r="H1378" s="315"/>
      <c r="I1378" s="65" t="s">
        <v>710</v>
      </c>
      <c r="J1378" s="56">
        <f>SUM(J1377)</f>
        <v>600000</v>
      </c>
      <c r="K1378" s="60"/>
      <c r="L1378" s="60">
        <f>SUM(J1377:K1377)</f>
        <v>600000</v>
      </c>
    </row>
    <row r="1379" spans="1:16" x14ac:dyDescent="0.2">
      <c r="B1379" s="49"/>
      <c r="D1379" s="519"/>
      <c r="E1379" s="579"/>
      <c r="F1379" s="311"/>
      <c r="G1379" s="47"/>
      <c r="H1379" s="312"/>
      <c r="I1379" s="26"/>
      <c r="J1379" s="224"/>
      <c r="K1379" s="30"/>
      <c r="L1379" s="61"/>
    </row>
    <row r="1380" spans="1:16" ht="27.75" customHeight="1" x14ac:dyDescent="0.2">
      <c r="B1380" s="49"/>
      <c r="D1380" s="519"/>
      <c r="E1380" s="581" t="s">
        <v>251</v>
      </c>
      <c r="F1380" s="391"/>
      <c r="G1380" s="334"/>
      <c r="H1380" s="393"/>
      <c r="I1380" s="339" t="s">
        <v>827</v>
      </c>
      <c r="J1380" s="259"/>
      <c r="K1380" s="80"/>
      <c r="L1380" s="260"/>
    </row>
    <row r="1381" spans="1:16" x14ac:dyDescent="0.2">
      <c r="B1381" s="49"/>
      <c r="D1381" s="519"/>
      <c r="E1381" s="579"/>
      <c r="F1381" s="311">
        <v>251</v>
      </c>
      <c r="G1381" s="47"/>
      <c r="H1381" s="312" t="s">
        <v>270</v>
      </c>
      <c r="I1381" s="220" t="s">
        <v>20</v>
      </c>
      <c r="J1381" s="64">
        <v>500000</v>
      </c>
      <c r="K1381" s="60"/>
      <c r="L1381" s="59">
        <f>SUM(J1381:K1381)</f>
        <v>500000</v>
      </c>
    </row>
    <row r="1382" spans="1:16" x14ac:dyDescent="0.2">
      <c r="B1382" s="49"/>
      <c r="D1382" s="519"/>
      <c r="E1382" s="579"/>
      <c r="F1382" s="311"/>
      <c r="G1382" s="55" t="s">
        <v>37</v>
      </c>
      <c r="H1382" s="312"/>
      <c r="I1382" s="220" t="s">
        <v>38</v>
      </c>
      <c r="J1382" s="64">
        <f>SUM(J1381:J1381)</f>
        <v>500000</v>
      </c>
      <c r="K1382" s="60"/>
      <c r="L1382" s="59">
        <f>SUM(J1381:K1381)</f>
        <v>500000</v>
      </c>
    </row>
    <row r="1383" spans="1:16" ht="15" x14ac:dyDescent="0.25">
      <c r="B1383" s="49"/>
      <c r="D1383" s="519"/>
      <c r="E1383" s="579"/>
      <c r="F1383" s="311"/>
      <c r="G1383" s="47"/>
      <c r="H1383" s="315"/>
      <c r="I1383" s="65" t="s">
        <v>710</v>
      </c>
      <c r="J1383" s="56">
        <f>SUM(J1382)</f>
        <v>500000</v>
      </c>
      <c r="K1383" s="60"/>
      <c r="L1383" s="60">
        <f>SUM(J1382:K1382)</f>
        <v>500000</v>
      </c>
    </row>
    <row r="1384" spans="1:16" x14ac:dyDescent="0.2">
      <c r="B1384" s="49"/>
      <c r="D1384" s="519"/>
      <c r="E1384" s="579"/>
      <c r="F1384" s="311"/>
      <c r="G1384" s="47"/>
      <c r="H1384" s="312"/>
      <c r="I1384" s="26"/>
      <c r="J1384" s="224"/>
      <c r="K1384" s="30"/>
      <c r="L1384" s="61"/>
    </row>
    <row r="1385" spans="1:16" ht="33.75" x14ac:dyDescent="0.2">
      <c r="B1385" s="49"/>
      <c r="D1385" s="519"/>
      <c r="E1385" s="581" t="s">
        <v>251</v>
      </c>
      <c r="F1385" s="391"/>
      <c r="G1385" s="334"/>
      <c r="H1385" s="393"/>
      <c r="I1385" s="339" t="s">
        <v>826</v>
      </c>
      <c r="J1385" s="259"/>
      <c r="K1385" s="80"/>
      <c r="L1385" s="260"/>
    </row>
    <row r="1386" spans="1:16" x14ac:dyDescent="0.2">
      <c r="B1386" s="49"/>
      <c r="D1386" s="519"/>
      <c r="E1386" s="579"/>
      <c r="F1386" s="311">
        <v>252</v>
      </c>
      <c r="G1386" s="47"/>
      <c r="H1386" s="312" t="s">
        <v>270</v>
      </c>
      <c r="I1386" s="220" t="s">
        <v>20</v>
      </c>
      <c r="J1386" s="64">
        <v>600000</v>
      </c>
      <c r="K1386" s="60"/>
      <c r="L1386" s="59">
        <f>SUM(J1386:K1386)</f>
        <v>600000</v>
      </c>
    </row>
    <row r="1387" spans="1:16" x14ac:dyDescent="0.2">
      <c r="B1387" s="49"/>
      <c r="D1387" s="519"/>
      <c r="E1387" s="579"/>
      <c r="F1387" s="311"/>
      <c r="G1387" s="55" t="s">
        <v>37</v>
      </c>
      <c r="H1387" s="312"/>
      <c r="I1387" s="220" t="s">
        <v>38</v>
      </c>
      <c r="J1387" s="64">
        <f>SUM(J1386:J1386)</f>
        <v>600000</v>
      </c>
      <c r="K1387" s="60"/>
      <c r="L1387" s="59">
        <f>SUM(J1386:K1386)</f>
        <v>600000</v>
      </c>
    </row>
    <row r="1388" spans="1:16" ht="15" x14ac:dyDescent="0.25">
      <c r="B1388" s="49"/>
      <c r="D1388" s="519"/>
      <c r="E1388" s="579"/>
      <c r="F1388" s="311"/>
      <c r="G1388" s="47"/>
      <c r="H1388" s="315"/>
      <c r="I1388" s="65" t="s">
        <v>710</v>
      </c>
      <c r="J1388" s="56">
        <f>SUM(J1387)</f>
        <v>600000</v>
      </c>
      <c r="K1388" s="60"/>
      <c r="L1388" s="60">
        <f>SUM(J1387:K1387)</f>
        <v>600000</v>
      </c>
    </row>
    <row r="1389" spans="1:16" x14ac:dyDescent="0.2">
      <c r="B1389" s="49"/>
      <c r="D1389" s="519"/>
      <c r="E1389" s="579"/>
      <c r="F1389" s="311"/>
      <c r="G1389" s="47"/>
      <c r="H1389" s="312"/>
      <c r="I1389" s="26"/>
      <c r="J1389" s="224"/>
      <c r="K1389" s="30"/>
      <c r="L1389" s="61"/>
    </row>
    <row r="1390" spans="1:16" ht="56.25" x14ac:dyDescent="0.2">
      <c r="B1390" s="49"/>
      <c r="D1390" s="519"/>
      <c r="E1390" s="581" t="s">
        <v>251</v>
      </c>
      <c r="F1390" s="391"/>
      <c r="G1390" s="334"/>
      <c r="H1390" s="393"/>
      <c r="I1390" s="339" t="s">
        <v>902</v>
      </c>
      <c r="J1390" s="259"/>
      <c r="K1390" s="80"/>
      <c r="L1390" s="260"/>
    </row>
    <row r="1391" spans="1:16" x14ac:dyDescent="0.2">
      <c r="B1391" s="49"/>
      <c r="D1391" s="519"/>
      <c r="E1391" s="582"/>
      <c r="F1391" s="882" t="s">
        <v>975</v>
      </c>
      <c r="G1391" s="883"/>
      <c r="H1391" s="884" t="s">
        <v>46</v>
      </c>
      <c r="I1391" s="898" t="s">
        <v>10</v>
      </c>
      <c r="J1391" s="908">
        <v>200000</v>
      </c>
      <c r="K1391" s="909"/>
      <c r="L1391" s="887">
        <f>SUM(J1391:K1391)</f>
        <v>200000</v>
      </c>
    </row>
    <row r="1392" spans="1:16" x14ac:dyDescent="0.2">
      <c r="B1392" s="49"/>
      <c r="D1392" s="519"/>
      <c r="E1392" s="579"/>
      <c r="F1392" s="311">
        <v>253</v>
      </c>
      <c r="G1392" s="47"/>
      <c r="H1392" s="312" t="s">
        <v>270</v>
      </c>
      <c r="I1392" s="220" t="s">
        <v>20</v>
      </c>
      <c r="J1392" s="64">
        <v>16000000</v>
      </c>
      <c r="K1392" s="60"/>
      <c r="L1392" s="59">
        <f>SUM(J1392:K1392)</f>
        <v>16000000</v>
      </c>
    </row>
    <row r="1393" spans="2:13" x14ac:dyDescent="0.2">
      <c r="B1393" s="49"/>
      <c r="D1393" s="519"/>
      <c r="E1393" s="579"/>
      <c r="F1393" s="311"/>
      <c r="G1393" s="55" t="s">
        <v>37</v>
      </c>
      <c r="H1393" s="312"/>
      <c r="I1393" s="220" t="s">
        <v>38</v>
      </c>
      <c r="J1393" s="64">
        <f>SUM(J1395-J1394)</f>
        <v>8200000</v>
      </c>
      <c r="K1393" s="60"/>
      <c r="L1393" s="59">
        <f>SUM(J1393:K1393)</f>
        <v>8200000</v>
      </c>
    </row>
    <row r="1394" spans="2:13" x14ac:dyDescent="0.2">
      <c r="B1394" s="49"/>
      <c r="D1394" s="519"/>
      <c r="E1394" s="579"/>
      <c r="F1394" s="311"/>
      <c r="G1394" s="55" t="s">
        <v>113</v>
      </c>
      <c r="H1394" s="312"/>
      <c r="I1394" s="220" t="s">
        <v>280</v>
      </c>
      <c r="J1394" s="64">
        <v>8000000</v>
      </c>
      <c r="K1394" s="59"/>
      <c r="L1394" s="59">
        <f>SUM(J1393:K1393)</f>
        <v>8200000</v>
      </c>
    </row>
    <row r="1395" spans="2:13" ht="15" x14ac:dyDescent="0.25">
      <c r="B1395" s="49"/>
      <c r="D1395" s="519"/>
      <c r="E1395" s="579"/>
      <c r="F1395" s="311"/>
      <c r="G1395" s="47"/>
      <c r="H1395" s="315"/>
      <c r="I1395" s="65" t="s">
        <v>710</v>
      </c>
      <c r="J1395" s="56">
        <f>SUM(J1391:J1392)</f>
        <v>16200000</v>
      </c>
      <c r="K1395" s="56"/>
      <c r="L1395" s="56">
        <f>SUM(J1395:K1395)</f>
        <v>16200000</v>
      </c>
    </row>
    <row r="1396" spans="2:13" x14ac:dyDescent="0.2">
      <c r="B1396" s="49"/>
      <c r="D1396" s="519"/>
      <c r="E1396" s="834"/>
      <c r="F1396" s="835"/>
      <c r="G1396" s="836"/>
      <c r="H1396" s="837"/>
      <c r="I1396" s="838"/>
      <c r="J1396" s="839"/>
      <c r="K1396" s="224"/>
      <c r="L1396" s="328"/>
    </row>
    <row r="1397" spans="2:13" ht="45" x14ac:dyDescent="0.2">
      <c r="B1397" s="49"/>
      <c r="D1397" s="519"/>
      <c r="E1397" s="581" t="s">
        <v>251</v>
      </c>
      <c r="F1397" s="391"/>
      <c r="G1397" s="334"/>
      <c r="H1397" s="393"/>
      <c r="I1397" s="339" t="s">
        <v>837</v>
      </c>
      <c r="J1397" s="259"/>
      <c r="K1397" s="80"/>
      <c r="L1397" s="260"/>
    </row>
    <row r="1398" spans="2:13" x14ac:dyDescent="0.2">
      <c r="B1398" s="49"/>
      <c r="D1398" s="519"/>
      <c r="E1398" s="582"/>
      <c r="F1398" s="882" t="s">
        <v>974</v>
      </c>
      <c r="G1398" s="883"/>
      <c r="H1398" s="884" t="s">
        <v>46</v>
      </c>
      <c r="I1398" s="898" t="s">
        <v>10</v>
      </c>
      <c r="J1398" s="908">
        <v>200000</v>
      </c>
      <c r="K1398" s="909"/>
      <c r="L1398" s="887">
        <f>SUM(J1398:K1398)</f>
        <v>200000</v>
      </c>
    </row>
    <row r="1399" spans="2:13" x14ac:dyDescent="0.2">
      <c r="B1399" s="49"/>
      <c r="D1399" s="519"/>
      <c r="E1399" s="579"/>
      <c r="F1399" s="311">
        <v>254</v>
      </c>
      <c r="G1399" s="47"/>
      <c r="H1399" s="312" t="s">
        <v>270</v>
      </c>
      <c r="I1399" s="220" t="s">
        <v>20</v>
      </c>
      <c r="J1399" s="64">
        <v>100000</v>
      </c>
      <c r="K1399" s="60"/>
      <c r="L1399" s="59">
        <f t="shared" ref="L1399:L1401" si="69">SUM(J1399:K1399)</f>
        <v>100000</v>
      </c>
    </row>
    <row r="1400" spans="2:13" x14ac:dyDescent="0.2">
      <c r="B1400" s="49"/>
      <c r="D1400" s="519"/>
      <c r="E1400" s="579"/>
      <c r="F1400" s="311"/>
      <c r="G1400" s="55" t="s">
        <v>37</v>
      </c>
      <c r="H1400" s="312"/>
      <c r="I1400" s="220" t="s">
        <v>38</v>
      </c>
      <c r="J1400" s="64">
        <f>SUM(J1402-J1401)</f>
        <v>250000</v>
      </c>
      <c r="K1400" s="60"/>
      <c r="L1400" s="59">
        <f t="shared" si="69"/>
        <v>250000</v>
      </c>
    </row>
    <row r="1401" spans="2:13" x14ac:dyDescent="0.2">
      <c r="B1401" s="49"/>
      <c r="D1401" s="519"/>
      <c r="E1401" s="579"/>
      <c r="F1401" s="311"/>
      <c r="G1401" s="55" t="s">
        <v>113</v>
      </c>
      <c r="H1401" s="312"/>
      <c r="I1401" s="220" t="s">
        <v>280</v>
      </c>
      <c r="J1401" s="64">
        <v>50000</v>
      </c>
      <c r="K1401" s="59"/>
      <c r="L1401" s="59">
        <f t="shared" si="69"/>
        <v>50000</v>
      </c>
    </row>
    <row r="1402" spans="2:13" x14ac:dyDescent="0.2">
      <c r="B1402" s="49"/>
      <c r="D1402" s="519"/>
      <c r="E1402" s="579"/>
      <c r="F1402" s="311"/>
      <c r="G1402" s="47"/>
      <c r="H1402" s="312"/>
      <c r="I1402" s="65" t="s">
        <v>710</v>
      </c>
      <c r="J1402" s="56">
        <f>SUM(J1398:J1399)</f>
        <v>300000</v>
      </c>
      <c r="K1402" s="56"/>
      <c r="L1402" s="56">
        <f>SUM(J1402:K1402)</f>
        <v>300000</v>
      </c>
    </row>
    <row r="1403" spans="2:13" x14ac:dyDescent="0.2">
      <c r="B1403" s="49"/>
      <c r="D1403" s="519"/>
      <c r="E1403" s="579"/>
      <c r="F1403" s="311"/>
      <c r="G1403" s="47"/>
      <c r="H1403" s="312"/>
      <c r="I1403" s="26"/>
      <c r="J1403" s="224"/>
      <c r="K1403" s="224"/>
      <c r="L1403" s="328"/>
    </row>
    <row r="1404" spans="2:13" x14ac:dyDescent="0.2">
      <c r="B1404" s="49"/>
      <c r="D1404" s="519"/>
      <c r="E1404" s="581" t="s">
        <v>251</v>
      </c>
      <c r="F1404" s="391"/>
      <c r="G1404" s="334"/>
      <c r="H1404" s="393"/>
      <c r="I1404" s="339" t="s">
        <v>825</v>
      </c>
      <c r="J1404" s="259"/>
      <c r="K1404" s="80"/>
      <c r="L1404" s="260"/>
    </row>
    <row r="1405" spans="2:13" x14ac:dyDescent="0.2">
      <c r="B1405" s="49"/>
      <c r="D1405" s="519"/>
      <c r="E1405" s="579"/>
      <c r="F1405" s="311">
        <v>255</v>
      </c>
      <c r="G1405" s="47"/>
      <c r="H1405" s="312" t="s">
        <v>270</v>
      </c>
      <c r="I1405" s="220" t="s">
        <v>20</v>
      </c>
      <c r="J1405" s="64">
        <v>2000000</v>
      </c>
      <c r="K1405" s="60"/>
      <c r="L1405" s="59">
        <f>SUM(J1405:K1405)</f>
        <v>2000000</v>
      </c>
    </row>
    <row r="1406" spans="2:13" x14ac:dyDescent="0.2">
      <c r="B1406" s="49"/>
      <c r="D1406" s="519"/>
      <c r="E1406" s="579"/>
      <c r="F1406" s="311"/>
      <c r="G1406" s="55" t="s">
        <v>113</v>
      </c>
      <c r="H1406" s="312"/>
      <c r="I1406" s="220" t="s">
        <v>280</v>
      </c>
      <c r="J1406" s="64">
        <f>SUM(J1405)</f>
        <v>2000000</v>
      </c>
      <c r="K1406" s="64"/>
      <c r="L1406" s="64">
        <f t="shared" ref="L1406" si="70">SUM(L1405)</f>
        <v>2000000</v>
      </c>
      <c r="M1406" s="187"/>
    </row>
    <row r="1407" spans="2:13" ht="15" x14ac:dyDescent="0.25">
      <c r="B1407" s="49"/>
      <c r="D1407" s="519"/>
      <c r="E1407" s="579"/>
      <c r="F1407" s="311"/>
      <c r="G1407" s="47"/>
      <c r="H1407" s="315"/>
      <c r="I1407" s="65" t="s">
        <v>710</v>
      </c>
      <c r="J1407" s="56">
        <f>SUM(J1405)</f>
        <v>2000000</v>
      </c>
      <c r="K1407" s="56"/>
      <c r="L1407" s="56">
        <f>SUM(L1405)</f>
        <v>2000000</v>
      </c>
    </row>
    <row r="1408" spans="2:13" x14ac:dyDescent="0.2">
      <c r="B1408" s="49"/>
      <c r="D1408" s="519"/>
      <c r="E1408" s="579"/>
      <c r="F1408" s="311"/>
      <c r="G1408" s="47"/>
      <c r="H1408" s="312"/>
      <c r="I1408" s="26"/>
      <c r="J1408" s="224"/>
      <c r="K1408" s="224"/>
      <c r="L1408" s="328"/>
    </row>
    <row r="1409" spans="2:12" ht="22.5" x14ac:dyDescent="0.2">
      <c r="B1409" s="49"/>
      <c r="D1409" s="519"/>
      <c r="E1409" s="581" t="s">
        <v>251</v>
      </c>
      <c r="F1409" s="391"/>
      <c r="G1409" s="334"/>
      <c r="H1409" s="393"/>
      <c r="I1409" s="339" t="s">
        <v>824</v>
      </c>
      <c r="J1409" s="259"/>
      <c r="K1409" s="80"/>
      <c r="L1409" s="260"/>
    </row>
    <row r="1410" spans="2:12" x14ac:dyDescent="0.2">
      <c r="B1410" s="49"/>
      <c r="D1410" s="519"/>
      <c r="E1410" s="579"/>
      <c r="F1410" s="311">
        <v>256</v>
      </c>
      <c r="G1410" s="47"/>
      <c r="H1410" s="312" t="s">
        <v>270</v>
      </c>
      <c r="I1410" s="220" t="s">
        <v>20</v>
      </c>
      <c r="J1410" s="64">
        <v>100000</v>
      </c>
      <c r="K1410" s="60"/>
      <c r="L1410" s="59">
        <f>SUM(J1410:K1410)</f>
        <v>100000</v>
      </c>
    </row>
    <row r="1411" spans="2:12" x14ac:dyDescent="0.2">
      <c r="B1411" s="49"/>
      <c r="D1411" s="519"/>
      <c r="E1411" s="579"/>
      <c r="F1411" s="311"/>
      <c r="G1411" s="55" t="s">
        <v>37</v>
      </c>
      <c r="H1411" s="312"/>
      <c r="I1411" s="220" t="s">
        <v>38</v>
      </c>
      <c r="J1411" s="64">
        <f>SUM(J1413-J1412)</f>
        <v>50000</v>
      </c>
      <c r="K1411" s="64"/>
      <c r="L1411" s="59">
        <f t="shared" ref="L1411:L1412" si="71">SUM(J1411:K1411)</f>
        <v>50000</v>
      </c>
    </row>
    <row r="1412" spans="2:12" x14ac:dyDescent="0.2">
      <c r="B1412" s="49"/>
      <c r="D1412" s="519"/>
      <c r="E1412" s="579"/>
      <c r="F1412" s="311"/>
      <c r="G1412" s="55" t="s">
        <v>113</v>
      </c>
      <c r="H1412" s="312"/>
      <c r="I1412" s="220" t="s">
        <v>280</v>
      </c>
      <c r="J1412" s="64">
        <v>50000</v>
      </c>
      <c r="K1412" s="64"/>
      <c r="L1412" s="59">
        <f t="shared" si="71"/>
        <v>50000</v>
      </c>
    </row>
    <row r="1413" spans="2:12" x14ac:dyDescent="0.2">
      <c r="B1413" s="49"/>
      <c r="D1413" s="519"/>
      <c r="E1413" s="579"/>
      <c r="F1413" s="311"/>
      <c r="G1413" s="47"/>
      <c r="H1413" s="312"/>
      <c r="I1413" s="65" t="s">
        <v>710</v>
      </c>
      <c r="J1413" s="56">
        <f>SUM(J1410)</f>
        <v>100000</v>
      </c>
      <c r="K1413" s="56"/>
      <c r="L1413" s="56">
        <f>SUM(L1410)</f>
        <v>100000</v>
      </c>
    </row>
    <row r="1414" spans="2:12" x14ac:dyDescent="0.2">
      <c r="B1414" s="49"/>
      <c r="D1414" s="519"/>
      <c r="E1414" s="579"/>
      <c r="F1414" s="311"/>
      <c r="G1414" s="47"/>
      <c r="H1414" s="312"/>
      <c r="I1414" s="26"/>
      <c r="J1414" s="224"/>
      <c r="K1414" s="224"/>
      <c r="L1414" s="328"/>
    </row>
    <row r="1415" spans="2:12" x14ac:dyDescent="0.2">
      <c r="B1415" s="49"/>
      <c r="D1415" s="519"/>
      <c r="E1415" s="581" t="s">
        <v>251</v>
      </c>
      <c r="F1415" s="391"/>
      <c r="G1415" s="334"/>
      <c r="H1415" s="393"/>
      <c r="I1415" s="339" t="s">
        <v>823</v>
      </c>
      <c r="J1415" s="259"/>
      <c r="K1415" s="80"/>
      <c r="L1415" s="260"/>
    </row>
    <row r="1416" spans="2:12" x14ac:dyDescent="0.2">
      <c r="B1416" s="49"/>
      <c r="D1416" s="519"/>
      <c r="E1416" s="579"/>
      <c r="F1416" s="311">
        <v>257</v>
      </c>
      <c r="G1416" s="47"/>
      <c r="H1416" s="312" t="s">
        <v>270</v>
      </c>
      <c r="I1416" s="220" t="s">
        <v>20</v>
      </c>
      <c r="J1416" s="64">
        <v>4000000</v>
      </c>
      <c r="K1416" s="60"/>
      <c r="L1416" s="59">
        <f>SUM(J1416:K1416)</f>
        <v>4000000</v>
      </c>
    </row>
    <row r="1417" spans="2:12" x14ac:dyDescent="0.2">
      <c r="B1417" s="49"/>
      <c r="D1417" s="519"/>
      <c r="E1417" s="579"/>
      <c r="F1417" s="311"/>
      <c r="G1417" s="55" t="s">
        <v>113</v>
      </c>
      <c r="H1417" s="312"/>
      <c r="I1417" s="220" t="s">
        <v>280</v>
      </c>
      <c r="J1417" s="64">
        <f>SUM(J1416)</f>
        <v>4000000</v>
      </c>
      <c r="K1417" s="64"/>
      <c r="L1417" s="59">
        <f t="shared" ref="L1417" si="72">SUM(J1417:K1417)</f>
        <v>4000000</v>
      </c>
    </row>
    <row r="1418" spans="2:12" ht="15" x14ac:dyDescent="0.25">
      <c r="B1418" s="49"/>
      <c r="D1418" s="519"/>
      <c r="E1418" s="579"/>
      <c r="F1418" s="311"/>
      <c r="G1418" s="47"/>
      <c r="H1418" s="315"/>
      <c r="I1418" s="65" t="s">
        <v>710</v>
      </c>
      <c r="J1418" s="56">
        <f>SUM(J1416)</f>
        <v>4000000</v>
      </c>
      <c r="K1418" s="56"/>
      <c r="L1418" s="56">
        <f>SUM(L1416)</f>
        <v>4000000</v>
      </c>
    </row>
    <row r="1419" spans="2:12" x14ac:dyDescent="0.2">
      <c r="B1419" s="49"/>
      <c r="D1419" s="519"/>
      <c r="E1419" s="579"/>
      <c r="F1419" s="311"/>
      <c r="G1419" s="47"/>
      <c r="H1419" s="312"/>
      <c r="I1419" s="26"/>
      <c r="J1419" s="224"/>
      <c r="K1419" s="224"/>
      <c r="L1419" s="328"/>
    </row>
    <row r="1420" spans="2:12" x14ac:dyDescent="0.2">
      <c r="B1420" s="49"/>
      <c r="D1420" s="519"/>
      <c r="E1420" s="581" t="s">
        <v>251</v>
      </c>
      <c r="F1420" s="391"/>
      <c r="G1420" s="334"/>
      <c r="H1420" s="393"/>
      <c r="I1420" s="339" t="s">
        <v>822</v>
      </c>
      <c r="J1420" s="259"/>
      <c r="K1420" s="80"/>
      <c r="L1420" s="260"/>
    </row>
    <row r="1421" spans="2:12" x14ac:dyDescent="0.2">
      <c r="B1421" s="49"/>
      <c r="D1421" s="519"/>
      <c r="E1421" s="579"/>
      <c r="F1421" s="311">
        <v>258</v>
      </c>
      <c r="G1421" s="47"/>
      <c r="H1421" s="312" t="s">
        <v>270</v>
      </c>
      <c r="I1421" s="220" t="s">
        <v>20</v>
      </c>
      <c r="J1421" s="64">
        <v>1800000</v>
      </c>
      <c r="K1421" s="60"/>
      <c r="L1421" s="59">
        <f>SUM(J1421:K1421)</f>
        <v>1800000</v>
      </c>
    </row>
    <row r="1422" spans="2:12" x14ac:dyDescent="0.2">
      <c r="B1422" s="49"/>
      <c r="D1422" s="519"/>
      <c r="E1422" s="579"/>
      <c r="F1422" s="311"/>
      <c r="G1422" s="55" t="s">
        <v>37</v>
      </c>
      <c r="H1422" s="312"/>
      <c r="I1422" s="220" t="s">
        <v>38</v>
      </c>
      <c r="J1422" s="64">
        <f>SUM(J1424-J1423)</f>
        <v>900000</v>
      </c>
      <c r="K1422" s="64"/>
      <c r="L1422" s="59">
        <f t="shared" ref="L1422:L1423" si="73">SUM(J1422:K1422)</f>
        <v>900000</v>
      </c>
    </row>
    <row r="1423" spans="2:12" x14ac:dyDescent="0.2">
      <c r="B1423" s="49"/>
      <c r="D1423" s="519"/>
      <c r="E1423" s="579"/>
      <c r="F1423" s="311"/>
      <c r="G1423" s="55" t="s">
        <v>113</v>
      </c>
      <c r="H1423" s="312"/>
      <c r="I1423" s="220" t="s">
        <v>280</v>
      </c>
      <c r="J1423" s="64">
        <v>900000</v>
      </c>
      <c r="K1423" s="64"/>
      <c r="L1423" s="59">
        <f t="shared" si="73"/>
        <v>900000</v>
      </c>
    </row>
    <row r="1424" spans="2:12" ht="15" x14ac:dyDescent="0.25">
      <c r="B1424" s="49"/>
      <c r="D1424" s="519"/>
      <c r="E1424" s="579"/>
      <c r="F1424" s="311"/>
      <c r="G1424" s="47"/>
      <c r="H1424" s="315"/>
      <c r="I1424" s="65" t="s">
        <v>710</v>
      </c>
      <c r="J1424" s="56">
        <f>SUM(J1421)</f>
        <v>1800000</v>
      </c>
      <c r="K1424" s="56"/>
      <c r="L1424" s="56">
        <f>SUM(L1421)</f>
        <v>1800000</v>
      </c>
    </row>
    <row r="1425" spans="1:12" x14ac:dyDescent="0.2">
      <c r="B1425" s="49"/>
      <c r="D1425" s="519"/>
      <c r="E1425" s="579"/>
      <c r="F1425" s="311"/>
      <c r="G1425" s="47"/>
      <c r="H1425" s="312"/>
      <c r="I1425" s="26"/>
      <c r="J1425" s="224"/>
      <c r="K1425" s="224"/>
      <c r="L1425" s="328"/>
    </row>
    <row r="1426" spans="1:12" ht="22.5" x14ac:dyDescent="0.2">
      <c r="B1426" s="49"/>
      <c r="D1426" s="519"/>
      <c r="E1426" s="581" t="s">
        <v>251</v>
      </c>
      <c r="F1426" s="391"/>
      <c r="G1426" s="334"/>
      <c r="H1426" s="393"/>
      <c r="I1426" s="339" t="s">
        <v>821</v>
      </c>
      <c r="J1426" s="259"/>
      <c r="K1426" s="80"/>
      <c r="L1426" s="260"/>
    </row>
    <row r="1427" spans="1:12" x14ac:dyDescent="0.2">
      <c r="B1427" s="49"/>
      <c r="D1427" s="519"/>
      <c r="E1427" s="579"/>
      <c r="F1427" s="311">
        <v>259</v>
      </c>
      <c r="G1427" s="47"/>
      <c r="H1427" s="312" t="s">
        <v>270</v>
      </c>
      <c r="I1427" s="220" t="s">
        <v>20</v>
      </c>
      <c r="J1427" s="64">
        <v>900000</v>
      </c>
      <c r="K1427" s="60"/>
      <c r="L1427" s="59">
        <f>SUM(J1427:K1427)</f>
        <v>900000</v>
      </c>
    </row>
    <row r="1428" spans="1:12" x14ac:dyDescent="0.2">
      <c r="B1428" s="49"/>
      <c r="D1428" s="519"/>
      <c r="E1428" s="579"/>
      <c r="F1428" s="311"/>
      <c r="G1428" s="55" t="s">
        <v>37</v>
      </c>
      <c r="H1428" s="312"/>
      <c r="I1428" s="220" t="s">
        <v>38</v>
      </c>
      <c r="J1428" s="64">
        <f>SUM(J1430-J1429)</f>
        <v>450000</v>
      </c>
      <c r="K1428" s="64"/>
      <c r="L1428" s="59">
        <f t="shared" ref="L1428:L1429" si="74">SUM(J1428:K1428)</f>
        <v>450000</v>
      </c>
    </row>
    <row r="1429" spans="1:12" x14ac:dyDescent="0.2">
      <c r="B1429" s="49"/>
      <c r="D1429" s="519"/>
      <c r="E1429" s="579"/>
      <c r="F1429" s="311"/>
      <c r="G1429" s="55" t="s">
        <v>113</v>
      </c>
      <c r="H1429" s="312"/>
      <c r="I1429" s="220" t="s">
        <v>280</v>
      </c>
      <c r="J1429" s="64">
        <v>450000</v>
      </c>
      <c r="K1429" s="64"/>
      <c r="L1429" s="59">
        <f t="shared" si="74"/>
        <v>450000</v>
      </c>
    </row>
    <row r="1430" spans="1:12" ht="15" x14ac:dyDescent="0.25">
      <c r="A1430" s="49"/>
      <c r="B1430" s="49"/>
      <c r="C1430" s="709"/>
      <c r="D1430" s="519"/>
      <c r="E1430" s="579"/>
      <c r="F1430" s="311"/>
      <c r="G1430" s="47"/>
      <c r="H1430" s="315"/>
      <c r="I1430" s="65" t="s">
        <v>710</v>
      </c>
      <c r="J1430" s="56">
        <f>SUM(J1427)</f>
        <v>900000</v>
      </c>
      <c r="K1430" s="56"/>
      <c r="L1430" s="56">
        <f>SUM(L1427)</f>
        <v>900000</v>
      </c>
    </row>
    <row r="1431" spans="1:12" ht="15" x14ac:dyDescent="0.2">
      <c r="A1431" s="49"/>
      <c r="B1431" s="49"/>
      <c r="C1431" s="709"/>
      <c r="D1431" s="519"/>
      <c r="E1431" s="579"/>
      <c r="F1431" s="311"/>
      <c r="G1431" s="47"/>
      <c r="H1431" s="312"/>
      <c r="I1431" s="26"/>
      <c r="J1431" s="224"/>
      <c r="K1431" s="224"/>
      <c r="L1431" s="328"/>
    </row>
    <row r="1432" spans="1:12" ht="15" x14ac:dyDescent="0.2">
      <c r="A1432" s="49"/>
      <c r="B1432" s="49"/>
      <c r="C1432" s="709"/>
      <c r="D1432" s="519"/>
      <c r="E1432" s="581" t="s">
        <v>251</v>
      </c>
      <c r="F1432" s="391"/>
      <c r="G1432" s="334"/>
      <c r="H1432" s="393"/>
      <c r="I1432" s="339" t="s">
        <v>820</v>
      </c>
      <c r="J1432" s="259"/>
      <c r="K1432" s="80"/>
      <c r="L1432" s="260"/>
    </row>
    <row r="1433" spans="1:12" ht="15" x14ac:dyDescent="0.2">
      <c r="A1433" s="49"/>
      <c r="B1433" s="49"/>
      <c r="C1433" s="709"/>
      <c r="D1433" s="519"/>
      <c r="E1433" s="579"/>
      <c r="F1433" s="311">
        <v>260</v>
      </c>
      <c r="G1433" s="47"/>
      <c r="H1433" s="312" t="s">
        <v>270</v>
      </c>
      <c r="I1433" s="220" t="s">
        <v>20</v>
      </c>
      <c r="J1433" s="64">
        <v>1500000</v>
      </c>
      <c r="K1433" s="60"/>
      <c r="L1433" s="59">
        <f>SUM(J1433:K1433)</f>
        <v>1500000</v>
      </c>
    </row>
    <row r="1434" spans="1:12" ht="15" x14ac:dyDescent="0.2">
      <c r="A1434" s="49"/>
      <c r="B1434" s="49"/>
      <c r="C1434" s="709"/>
      <c r="D1434" s="519"/>
      <c r="E1434" s="579"/>
      <c r="F1434" s="311"/>
      <c r="G1434" s="55" t="s">
        <v>37</v>
      </c>
      <c r="H1434" s="312"/>
      <c r="I1434" s="220" t="s">
        <v>38</v>
      </c>
      <c r="J1434" s="64">
        <f>SUM(J1436-J1435)</f>
        <v>750000</v>
      </c>
      <c r="K1434" s="64"/>
      <c r="L1434" s="59">
        <f t="shared" ref="L1434:L1435" si="75">SUM(J1434:K1434)</f>
        <v>750000</v>
      </c>
    </row>
    <row r="1435" spans="1:12" ht="15" x14ac:dyDescent="0.2">
      <c r="A1435" s="49"/>
      <c r="B1435" s="49"/>
      <c r="C1435" s="709"/>
      <c r="D1435" s="519"/>
      <c r="E1435" s="579"/>
      <c r="F1435" s="311"/>
      <c r="G1435" s="55" t="s">
        <v>113</v>
      </c>
      <c r="H1435" s="312"/>
      <c r="I1435" s="220" t="s">
        <v>280</v>
      </c>
      <c r="J1435" s="64">
        <v>750000</v>
      </c>
      <c r="K1435" s="64"/>
      <c r="L1435" s="59">
        <f t="shared" si="75"/>
        <v>750000</v>
      </c>
    </row>
    <row r="1436" spans="1:12" ht="15" x14ac:dyDescent="0.25">
      <c r="A1436" s="49"/>
      <c r="B1436" s="49"/>
      <c r="C1436" s="709"/>
      <c r="D1436" s="519"/>
      <c r="E1436" s="579"/>
      <c r="F1436" s="311"/>
      <c r="G1436" s="47"/>
      <c r="H1436" s="315"/>
      <c r="I1436" s="65" t="s">
        <v>710</v>
      </c>
      <c r="J1436" s="56">
        <f>SUM(J1433)</f>
        <v>1500000</v>
      </c>
      <c r="K1436" s="56"/>
      <c r="L1436" s="56">
        <f>SUM(L1433)</f>
        <v>1500000</v>
      </c>
    </row>
    <row r="1437" spans="1:12" ht="15" x14ac:dyDescent="0.2">
      <c r="A1437" s="49"/>
      <c r="B1437" s="49"/>
      <c r="C1437" s="709"/>
      <c r="D1437" s="519"/>
      <c r="E1437" s="579"/>
      <c r="F1437" s="311"/>
      <c r="G1437" s="47"/>
      <c r="H1437" s="312"/>
      <c r="I1437" s="26"/>
      <c r="J1437" s="224"/>
      <c r="K1437" s="224"/>
      <c r="L1437" s="328"/>
    </row>
    <row r="1438" spans="1:12" ht="15" x14ac:dyDescent="0.2">
      <c r="A1438" s="49"/>
      <c r="B1438" s="49"/>
      <c r="C1438" s="709"/>
      <c r="D1438" s="519"/>
      <c r="E1438" s="581" t="s">
        <v>251</v>
      </c>
      <c r="F1438" s="391"/>
      <c r="G1438" s="334"/>
      <c r="H1438" s="393"/>
      <c r="I1438" s="339" t="s">
        <v>819</v>
      </c>
      <c r="J1438" s="259"/>
      <c r="K1438" s="80"/>
      <c r="L1438" s="260"/>
    </row>
    <row r="1439" spans="1:12" ht="15" x14ac:dyDescent="0.2">
      <c r="A1439" s="49"/>
      <c r="B1439" s="49"/>
      <c r="C1439" s="709"/>
      <c r="D1439" s="519"/>
      <c r="E1439" s="579"/>
      <c r="F1439" s="311">
        <v>261</v>
      </c>
      <c r="G1439" s="47"/>
      <c r="H1439" s="312" t="s">
        <v>270</v>
      </c>
      <c r="I1439" s="220" t="s">
        <v>20</v>
      </c>
      <c r="J1439" s="64">
        <v>1800000</v>
      </c>
      <c r="K1439" s="60"/>
      <c r="L1439" s="59">
        <f>SUM(J1439:K1439)</f>
        <v>1800000</v>
      </c>
    </row>
    <row r="1440" spans="1:12" ht="15" x14ac:dyDescent="0.2">
      <c r="A1440" s="49"/>
      <c r="B1440" s="49"/>
      <c r="C1440" s="709"/>
      <c r="D1440" s="519"/>
      <c r="E1440" s="579"/>
      <c r="F1440" s="311"/>
      <c r="G1440" s="55" t="s">
        <v>37</v>
      </c>
      <c r="H1440" s="312"/>
      <c r="I1440" s="220" t="s">
        <v>38</v>
      </c>
      <c r="J1440" s="64">
        <f>SUM(J1442-J1441)</f>
        <v>900000</v>
      </c>
      <c r="K1440" s="64"/>
      <c r="L1440" s="59">
        <f t="shared" ref="L1440:L1441" si="76">SUM(J1440:K1440)</f>
        <v>900000</v>
      </c>
    </row>
    <row r="1441" spans="1:12" ht="15" x14ac:dyDescent="0.2">
      <c r="A1441" s="49"/>
      <c r="B1441" s="49"/>
      <c r="C1441" s="709"/>
      <c r="D1441" s="519"/>
      <c r="E1441" s="579"/>
      <c r="F1441" s="311"/>
      <c r="G1441" s="55" t="s">
        <v>113</v>
      </c>
      <c r="H1441" s="312"/>
      <c r="I1441" s="220" t="s">
        <v>280</v>
      </c>
      <c r="J1441" s="64">
        <v>900000</v>
      </c>
      <c r="K1441" s="64"/>
      <c r="L1441" s="59">
        <f t="shared" si="76"/>
        <v>900000</v>
      </c>
    </row>
    <row r="1442" spans="1:12" ht="15" x14ac:dyDescent="0.25">
      <c r="A1442" s="49"/>
      <c r="B1442" s="49"/>
      <c r="C1442" s="709"/>
      <c r="D1442" s="519"/>
      <c r="E1442" s="579"/>
      <c r="F1442" s="311"/>
      <c r="G1442" s="47"/>
      <c r="H1442" s="315"/>
      <c r="I1442" s="65" t="s">
        <v>710</v>
      </c>
      <c r="J1442" s="56">
        <f>SUM(J1439)</f>
        <v>1800000</v>
      </c>
      <c r="K1442" s="56"/>
      <c r="L1442" s="56">
        <f>SUM(L1439)</f>
        <v>1800000</v>
      </c>
    </row>
    <row r="1443" spans="1:12" ht="15" x14ac:dyDescent="0.2">
      <c r="A1443" s="49"/>
      <c r="B1443" s="49"/>
      <c r="C1443" s="709"/>
      <c r="D1443" s="519"/>
      <c r="E1443" s="579"/>
      <c r="F1443" s="311"/>
      <c r="G1443" s="47"/>
      <c r="H1443" s="312"/>
      <c r="I1443" s="26"/>
      <c r="J1443" s="224"/>
      <c r="K1443" s="224"/>
      <c r="L1443" s="328"/>
    </row>
    <row r="1444" spans="1:12" ht="22.5" x14ac:dyDescent="0.2">
      <c r="A1444" s="49"/>
      <c r="B1444" s="49"/>
      <c r="C1444" s="709"/>
      <c r="D1444" s="519"/>
      <c r="E1444" s="581" t="s">
        <v>251</v>
      </c>
      <c r="F1444" s="391"/>
      <c r="G1444" s="334"/>
      <c r="H1444" s="393"/>
      <c r="I1444" s="339" t="s">
        <v>818</v>
      </c>
      <c r="J1444" s="259"/>
      <c r="K1444" s="80"/>
      <c r="L1444" s="260"/>
    </row>
    <row r="1445" spans="1:12" ht="15" x14ac:dyDescent="0.2">
      <c r="A1445" s="49"/>
      <c r="B1445" s="49"/>
      <c r="C1445" s="709"/>
      <c r="D1445" s="519"/>
      <c r="E1445" s="579"/>
      <c r="F1445" s="311">
        <v>262</v>
      </c>
      <c r="G1445" s="47"/>
      <c r="H1445" s="312" t="s">
        <v>270</v>
      </c>
      <c r="I1445" s="220" t="s">
        <v>20</v>
      </c>
      <c r="J1445" s="64">
        <v>180000</v>
      </c>
      <c r="K1445" s="60"/>
      <c r="L1445" s="59">
        <f>SUM(J1445:K1445)</f>
        <v>180000</v>
      </c>
    </row>
    <row r="1446" spans="1:12" ht="15" x14ac:dyDescent="0.2">
      <c r="A1446" s="49"/>
      <c r="B1446" s="49"/>
      <c r="C1446" s="709"/>
      <c r="D1446" s="519"/>
      <c r="E1446" s="579"/>
      <c r="F1446" s="311"/>
      <c r="G1446" s="55" t="s">
        <v>37</v>
      </c>
      <c r="H1446" s="312"/>
      <c r="I1446" s="220" t="s">
        <v>38</v>
      </c>
      <c r="J1446" s="64">
        <f>SUM(J1448-J1447)</f>
        <v>90000</v>
      </c>
      <c r="K1446" s="64"/>
      <c r="L1446" s="59">
        <f t="shared" ref="L1446:L1447" si="77">SUM(J1446:K1446)</f>
        <v>90000</v>
      </c>
    </row>
    <row r="1447" spans="1:12" ht="15" x14ac:dyDescent="0.2">
      <c r="A1447" s="49"/>
      <c r="B1447" s="49"/>
      <c r="C1447" s="709"/>
      <c r="D1447" s="519"/>
      <c r="E1447" s="579"/>
      <c r="F1447" s="311"/>
      <c r="G1447" s="55" t="s">
        <v>113</v>
      </c>
      <c r="H1447" s="312"/>
      <c r="I1447" s="220" t="s">
        <v>280</v>
      </c>
      <c r="J1447" s="64">
        <v>90000</v>
      </c>
      <c r="K1447" s="64"/>
      <c r="L1447" s="59">
        <f t="shared" si="77"/>
        <v>90000</v>
      </c>
    </row>
    <row r="1448" spans="1:12" ht="15" x14ac:dyDescent="0.25">
      <c r="A1448" s="49"/>
      <c r="B1448" s="49"/>
      <c r="C1448" s="709"/>
      <c r="D1448" s="519"/>
      <c r="E1448" s="579"/>
      <c r="F1448" s="311"/>
      <c r="G1448" s="47"/>
      <c r="H1448" s="315"/>
      <c r="I1448" s="65" t="s">
        <v>710</v>
      </c>
      <c r="J1448" s="56">
        <f>SUM(J1445)</f>
        <v>180000</v>
      </c>
      <c r="K1448" s="56"/>
      <c r="L1448" s="56">
        <f>SUM(L1445)</f>
        <v>180000</v>
      </c>
    </row>
    <row r="1449" spans="1:12" ht="15" x14ac:dyDescent="0.2">
      <c r="A1449" s="49"/>
      <c r="B1449" s="49"/>
      <c r="C1449" s="709"/>
      <c r="D1449" s="519"/>
      <c r="E1449" s="579"/>
      <c r="F1449" s="311"/>
      <c r="G1449" s="47"/>
      <c r="H1449" s="312"/>
      <c r="I1449" s="26"/>
      <c r="J1449" s="224"/>
      <c r="K1449" s="224"/>
      <c r="L1449" s="328"/>
    </row>
    <row r="1450" spans="1:12" ht="15" x14ac:dyDescent="0.2">
      <c r="A1450" s="49"/>
      <c r="B1450" s="49"/>
      <c r="C1450" s="709"/>
      <c r="D1450" s="519"/>
      <c r="E1450" s="581" t="s">
        <v>251</v>
      </c>
      <c r="F1450" s="391"/>
      <c r="G1450" s="334"/>
      <c r="H1450" s="393"/>
      <c r="I1450" s="339" t="s">
        <v>817</v>
      </c>
      <c r="J1450" s="259"/>
      <c r="K1450" s="80"/>
      <c r="L1450" s="260"/>
    </row>
    <row r="1451" spans="1:12" ht="15" x14ac:dyDescent="0.2">
      <c r="A1451" s="49"/>
      <c r="B1451" s="49"/>
      <c r="C1451" s="709"/>
      <c r="D1451" s="519"/>
      <c r="E1451" s="579"/>
      <c r="F1451" s="311">
        <v>263</v>
      </c>
      <c r="G1451" s="47"/>
      <c r="H1451" s="312" t="s">
        <v>270</v>
      </c>
      <c r="I1451" s="220" t="s">
        <v>20</v>
      </c>
      <c r="J1451" s="64">
        <v>1500000</v>
      </c>
      <c r="K1451" s="60"/>
      <c r="L1451" s="59">
        <f>SUM(J1451:K1451)</f>
        <v>1500000</v>
      </c>
    </row>
    <row r="1452" spans="1:12" ht="15" x14ac:dyDescent="0.2">
      <c r="A1452" s="49"/>
      <c r="B1452" s="49"/>
      <c r="C1452" s="709"/>
      <c r="D1452" s="519"/>
      <c r="E1452" s="579"/>
      <c r="F1452" s="311"/>
      <c r="G1452" s="55" t="s">
        <v>37</v>
      </c>
      <c r="H1452" s="312"/>
      <c r="I1452" s="220" t="s">
        <v>38</v>
      </c>
      <c r="J1452" s="64">
        <f>SUM(J1454-J1453)</f>
        <v>750000</v>
      </c>
      <c r="K1452" s="64"/>
      <c r="L1452" s="59">
        <f t="shared" ref="L1452:L1453" si="78">SUM(J1452:K1452)</f>
        <v>750000</v>
      </c>
    </row>
    <row r="1453" spans="1:12" ht="15" x14ac:dyDescent="0.2">
      <c r="A1453" s="49"/>
      <c r="B1453" s="49"/>
      <c r="C1453" s="709"/>
      <c r="D1453" s="519"/>
      <c r="E1453" s="579"/>
      <c r="F1453" s="311"/>
      <c r="G1453" s="55" t="s">
        <v>113</v>
      </c>
      <c r="H1453" s="312"/>
      <c r="I1453" s="220" t="s">
        <v>280</v>
      </c>
      <c r="J1453" s="64">
        <v>750000</v>
      </c>
      <c r="K1453" s="64"/>
      <c r="L1453" s="59">
        <f t="shared" si="78"/>
        <v>750000</v>
      </c>
    </row>
    <row r="1454" spans="1:12" ht="15" x14ac:dyDescent="0.25">
      <c r="A1454" s="49"/>
      <c r="B1454" s="49"/>
      <c r="C1454" s="709"/>
      <c r="D1454" s="519"/>
      <c r="E1454" s="579"/>
      <c r="F1454" s="311"/>
      <c r="G1454" s="47"/>
      <c r="H1454" s="315"/>
      <c r="I1454" s="65" t="s">
        <v>710</v>
      </c>
      <c r="J1454" s="56">
        <f>SUM(J1451)</f>
        <v>1500000</v>
      </c>
      <c r="K1454" s="56"/>
      <c r="L1454" s="56">
        <f>SUM(L1451)</f>
        <v>1500000</v>
      </c>
    </row>
    <row r="1455" spans="1:12" ht="15" x14ac:dyDescent="0.2">
      <c r="A1455" s="49"/>
      <c r="B1455" s="49"/>
      <c r="C1455" s="709"/>
      <c r="D1455" s="519"/>
      <c r="E1455" s="579"/>
      <c r="F1455" s="311"/>
      <c r="G1455" s="47"/>
      <c r="H1455" s="312"/>
      <c r="I1455" s="26"/>
      <c r="J1455" s="224"/>
      <c r="K1455" s="224"/>
      <c r="L1455" s="328"/>
    </row>
    <row r="1456" spans="1:12" ht="22.5" x14ac:dyDescent="0.2">
      <c r="A1456" s="49"/>
      <c r="B1456" s="49"/>
      <c r="C1456" s="709"/>
      <c r="D1456" s="519"/>
      <c r="E1456" s="581" t="s">
        <v>251</v>
      </c>
      <c r="F1456" s="391"/>
      <c r="G1456" s="334"/>
      <c r="H1456" s="393"/>
      <c r="I1456" s="339" t="s">
        <v>816</v>
      </c>
      <c r="J1456" s="259"/>
      <c r="K1456" s="80"/>
      <c r="L1456" s="260"/>
    </row>
    <row r="1457" spans="1:12" ht="15" x14ac:dyDescent="0.2">
      <c r="A1457" s="49"/>
      <c r="B1457" s="49"/>
      <c r="C1457" s="709"/>
      <c r="D1457" s="519"/>
      <c r="E1457" s="582"/>
      <c r="F1457" s="882" t="s">
        <v>973</v>
      </c>
      <c r="G1457" s="883"/>
      <c r="H1457" s="884" t="s">
        <v>46</v>
      </c>
      <c r="I1457" s="898" t="s">
        <v>10</v>
      </c>
      <c r="J1457" s="899">
        <v>200000</v>
      </c>
      <c r="K1457" s="900"/>
      <c r="L1457" s="887">
        <f>SUM(J1457:K1457)</f>
        <v>200000</v>
      </c>
    </row>
    <row r="1458" spans="1:12" ht="15" x14ac:dyDescent="0.2">
      <c r="A1458" s="49"/>
      <c r="B1458" s="49"/>
      <c r="C1458" s="709"/>
      <c r="D1458" s="519"/>
      <c r="E1458" s="579"/>
      <c r="F1458" s="311">
        <v>264</v>
      </c>
      <c r="G1458" s="47"/>
      <c r="H1458" s="312" t="s">
        <v>270</v>
      </c>
      <c r="I1458" s="220" t="s">
        <v>20</v>
      </c>
      <c r="J1458" s="64">
        <v>3840000</v>
      </c>
      <c r="K1458" s="60"/>
      <c r="L1458" s="59">
        <f>SUM(J1458:K1458)</f>
        <v>3840000</v>
      </c>
    </row>
    <row r="1459" spans="1:12" ht="15" x14ac:dyDescent="0.2">
      <c r="A1459" s="49"/>
      <c r="B1459" s="49"/>
      <c r="C1459" s="709"/>
      <c r="D1459" s="519"/>
      <c r="E1459" s="579"/>
      <c r="F1459" s="311"/>
      <c r="G1459" s="55" t="s">
        <v>37</v>
      </c>
      <c r="H1459" s="312"/>
      <c r="I1459" s="220" t="s">
        <v>38</v>
      </c>
      <c r="J1459" s="64">
        <f>SUM(J1457:J1458)</f>
        <v>4040000</v>
      </c>
      <c r="K1459" s="64"/>
      <c r="L1459" s="59">
        <f t="shared" ref="L1459" si="79">SUM(J1459:K1459)</f>
        <v>4040000</v>
      </c>
    </row>
    <row r="1460" spans="1:12" ht="15" x14ac:dyDescent="0.25">
      <c r="A1460" s="49"/>
      <c r="B1460" s="49"/>
      <c r="C1460" s="709"/>
      <c r="D1460" s="519"/>
      <c r="E1460" s="579"/>
      <c r="F1460" s="311"/>
      <c r="G1460" s="47"/>
      <c r="H1460" s="315"/>
      <c r="I1460" s="65" t="s">
        <v>710</v>
      </c>
      <c r="J1460" s="56">
        <f>SUM(J1457:J1458)</f>
        <v>4040000</v>
      </c>
      <c r="K1460" s="56"/>
      <c r="L1460" s="56">
        <f>SUM(J1460:K1460)</f>
        <v>4040000</v>
      </c>
    </row>
    <row r="1461" spans="1:12" ht="15" x14ac:dyDescent="0.2">
      <c r="A1461" s="49"/>
      <c r="B1461" s="49"/>
      <c r="C1461" s="709"/>
      <c r="D1461" s="519"/>
      <c r="E1461" s="579"/>
      <c r="F1461" s="311"/>
      <c r="G1461" s="47"/>
      <c r="H1461" s="312"/>
      <c r="I1461" s="26"/>
      <c r="J1461" s="224"/>
      <c r="K1461" s="224"/>
      <c r="L1461" s="328"/>
    </row>
    <row r="1462" spans="1:12" ht="33.75" x14ac:dyDescent="0.2">
      <c r="A1462" s="49"/>
      <c r="B1462" s="49"/>
      <c r="C1462" s="709"/>
      <c r="D1462" s="519"/>
      <c r="E1462" s="581" t="s">
        <v>251</v>
      </c>
      <c r="F1462" s="391"/>
      <c r="G1462" s="334"/>
      <c r="H1462" s="393"/>
      <c r="I1462" s="339" t="s">
        <v>815</v>
      </c>
      <c r="J1462" s="259"/>
      <c r="K1462" s="80"/>
      <c r="L1462" s="260"/>
    </row>
    <row r="1463" spans="1:12" ht="15" x14ac:dyDescent="0.2">
      <c r="A1463" s="49"/>
      <c r="B1463" s="49"/>
      <c r="C1463" s="709"/>
      <c r="D1463" s="519"/>
      <c r="E1463" s="579"/>
      <c r="F1463" s="311">
        <v>265</v>
      </c>
      <c r="G1463" s="47"/>
      <c r="H1463" s="312" t="s">
        <v>270</v>
      </c>
      <c r="I1463" s="220" t="s">
        <v>20</v>
      </c>
      <c r="J1463" s="64">
        <v>1700000</v>
      </c>
      <c r="K1463" s="60"/>
      <c r="L1463" s="59">
        <f>SUM(J1463:K1463)</f>
        <v>1700000</v>
      </c>
    </row>
    <row r="1464" spans="1:12" ht="15" x14ac:dyDescent="0.2">
      <c r="A1464" s="49"/>
      <c r="B1464" s="49"/>
      <c r="C1464" s="709"/>
      <c r="D1464" s="519"/>
      <c r="E1464" s="579"/>
      <c r="F1464" s="311"/>
      <c r="G1464" s="55" t="s">
        <v>37</v>
      </c>
      <c r="H1464" s="312"/>
      <c r="I1464" s="220" t="s">
        <v>38</v>
      </c>
      <c r="J1464" s="64">
        <f>SUM(J1463)</f>
        <v>1700000</v>
      </c>
      <c r="K1464" s="64"/>
      <c r="L1464" s="59">
        <f t="shared" ref="L1464" si="80">SUM(J1464:K1464)</f>
        <v>1700000</v>
      </c>
    </row>
    <row r="1465" spans="1:12" ht="15" x14ac:dyDescent="0.25">
      <c r="A1465" s="49"/>
      <c r="B1465" s="49"/>
      <c r="C1465" s="709"/>
      <c r="D1465" s="519"/>
      <c r="E1465" s="579"/>
      <c r="F1465" s="311"/>
      <c r="G1465" s="47"/>
      <c r="H1465" s="315"/>
      <c r="I1465" s="65" t="s">
        <v>710</v>
      </c>
      <c r="J1465" s="56">
        <f>SUM(J1463)</f>
        <v>1700000</v>
      </c>
      <c r="K1465" s="56"/>
      <c r="L1465" s="56">
        <f>SUM(L1463)</f>
        <v>1700000</v>
      </c>
    </row>
    <row r="1466" spans="1:12" ht="15" x14ac:dyDescent="0.2">
      <c r="A1466" s="49"/>
      <c r="B1466" s="49"/>
      <c r="C1466" s="709"/>
      <c r="D1466" s="519"/>
      <c r="E1466" s="579"/>
      <c r="F1466" s="311"/>
      <c r="G1466" s="47"/>
      <c r="H1466" s="312"/>
      <c r="I1466" s="26"/>
      <c r="J1466" s="224"/>
      <c r="K1466" s="224"/>
      <c r="L1466" s="328"/>
    </row>
    <row r="1467" spans="1:12" ht="22.5" x14ac:dyDescent="0.2">
      <c r="A1467" s="49"/>
      <c r="B1467" s="49"/>
      <c r="C1467" s="709"/>
      <c r="D1467" s="519"/>
      <c r="E1467" s="581" t="s">
        <v>251</v>
      </c>
      <c r="F1467" s="391"/>
      <c r="G1467" s="334"/>
      <c r="H1467" s="393"/>
      <c r="I1467" s="339" t="s">
        <v>938</v>
      </c>
      <c r="J1467" s="259"/>
      <c r="K1467" s="80"/>
      <c r="L1467" s="260"/>
    </row>
    <row r="1468" spans="1:12" ht="15" x14ac:dyDescent="0.2">
      <c r="A1468" s="49"/>
      <c r="B1468" s="49"/>
      <c r="C1468" s="709"/>
      <c r="D1468" s="519"/>
      <c r="E1468" s="579"/>
      <c r="F1468" s="311">
        <v>266</v>
      </c>
      <c r="G1468" s="47"/>
      <c r="H1468" s="312" t="s">
        <v>270</v>
      </c>
      <c r="I1468" s="220" t="s">
        <v>20</v>
      </c>
      <c r="J1468" s="64">
        <v>500000</v>
      </c>
      <c r="K1468" s="60"/>
      <c r="L1468" s="59">
        <f>SUM(J1468:K1468)</f>
        <v>500000</v>
      </c>
    </row>
    <row r="1469" spans="1:12" ht="15" x14ac:dyDescent="0.2">
      <c r="A1469" s="49"/>
      <c r="B1469" s="49"/>
      <c r="C1469" s="709"/>
      <c r="D1469" s="519"/>
      <c r="E1469" s="579"/>
      <c r="F1469" s="311"/>
      <c r="G1469" s="55" t="s">
        <v>37</v>
      </c>
      <c r="H1469" s="312"/>
      <c r="I1469" s="220" t="s">
        <v>38</v>
      </c>
      <c r="J1469" s="64">
        <f>SUM(J1468)</f>
        <v>500000</v>
      </c>
      <c r="K1469" s="64"/>
      <c r="L1469" s="59">
        <f t="shared" ref="L1469" si="81">SUM(J1469:K1469)</f>
        <v>500000</v>
      </c>
    </row>
    <row r="1470" spans="1:12" ht="15" x14ac:dyDescent="0.25">
      <c r="A1470" s="49"/>
      <c r="B1470" s="49"/>
      <c r="C1470" s="709"/>
      <c r="D1470" s="519"/>
      <c r="E1470" s="579"/>
      <c r="F1470" s="311"/>
      <c r="G1470" s="47"/>
      <c r="H1470" s="315"/>
      <c r="I1470" s="65" t="s">
        <v>710</v>
      </c>
      <c r="J1470" s="56">
        <f>SUM(J1468)</f>
        <v>500000</v>
      </c>
      <c r="K1470" s="56"/>
      <c r="L1470" s="56">
        <f>SUM(L1468)</f>
        <v>500000</v>
      </c>
    </row>
    <row r="1471" spans="1:12" ht="15" x14ac:dyDescent="0.2">
      <c r="A1471" s="49"/>
      <c r="B1471" s="49"/>
      <c r="C1471" s="709"/>
      <c r="D1471" s="519"/>
      <c r="E1471" s="579"/>
      <c r="F1471" s="311"/>
      <c r="G1471" s="47"/>
      <c r="H1471" s="312"/>
      <c r="I1471" s="26"/>
      <c r="J1471" s="224"/>
      <c r="K1471" s="224"/>
      <c r="L1471" s="328"/>
    </row>
    <row r="1472" spans="1:12" ht="22.5" x14ac:dyDescent="0.2">
      <c r="A1472" s="49"/>
      <c r="B1472" s="49"/>
      <c r="C1472" s="709"/>
      <c r="D1472" s="519"/>
      <c r="E1472" s="581" t="s">
        <v>251</v>
      </c>
      <c r="F1472" s="391"/>
      <c r="G1472" s="334"/>
      <c r="H1472" s="393"/>
      <c r="I1472" s="339" t="s">
        <v>715</v>
      </c>
      <c r="J1472" s="259"/>
      <c r="K1472" s="80"/>
      <c r="L1472" s="260"/>
    </row>
    <row r="1473" spans="1:16" ht="15" x14ac:dyDescent="0.2">
      <c r="A1473" s="49"/>
      <c r="B1473" s="49"/>
      <c r="C1473" s="709"/>
      <c r="D1473" s="519"/>
      <c r="E1473" s="579"/>
      <c r="F1473" s="311">
        <v>267</v>
      </c>
      <c r="G1473" s="47"/>
      <c r="H1473" s="312" t="s">
        <v>270</v>
      </c>
      <c r="I1473" s="220" t="s">
        <v>20</v>
      </c>
      <c r="J1473" s="64">
        <v>1000</v>
      </c>
      <c r="K1473" s="60"/>
      <c r="L1473" s="59">
        <f>SUM(J1473:K1473)</f>
        <v>1000</v>
      </c>
    </row>
    <row r="1474" spans="1:16" ht="15" x14ac:dyDescent="0.2">
      <c r="A1474" s="49"/>
      <c r="B1474" s="49"/>
      <c r="C1474" s="709"/>
      <c r="D1474" s="519"/>
      <c r="E1474" s="579"/>
      <c r="F1474" s="311"/>
      <c r="G1474" s="55" t="s">
        <v>37</v>
      </c>
      <c r="H1474" s="312"/>
      <c r="I1474" s="220" t="s">
        <v>38</v>
      </c>
      <c r="J1474" s="64">
        <f>SUM(J1473)</f>
        <v>1000</v>
      </c>
      <c r="K1474" s="64"/>
      <c r="L1474" s="59">
        <f t="shared" ref="L1474" si="82">SUM(J1474:K1474)</f>
        <v>1000</v>
      </c>
    </row>
    <row r="1475" spans="1:16" ht="15" x14ac:dyDescent="0.25">
      <c r="A1475" s="49"/>
      <c r="B1475" s="49"/>
      <c r="C1475" s="709"/>
      <c r="D1475" s="519"/>
      <c r="E1475" s="579"/>
      <c r="F1475" s="311"/>
      <c r="G1475" s="47"/>
      <c r="H1475" s="315"/>
      <c r="I1475" s="65" t="s">
        <v>710</v>
      </c>
      <c r="J1475" s="56">
        <f>SUM(J1473)</f>
        <v>1000</v>
      </c>
      <c r="K1475" s="56"/>
      <c r="L1475" s="56">
        <f>SUM(L1473)</f>
        <v>1000</v>
      </c>
    </row>
    <row r="1476" spans="1:16" ht="15" x14ac:dyDescent="0.2">
      <c r="A1476" s="49"/>
      <c r="B1476" s="49"/>
      <c r="C1476" s="709"/>
      <c r="D1476" s="519"/>
      <c r="E1476" s="579"/>
      <c r="F1476" s="311"/>
      <c r="G1476" s="47"/>
      <c r="H1476" s="312"/>
      <c r="I1476" s="26"/>
      <c r="J1476" s="224"/>
      <c r="K1476" s="224"/>
      <c r="L1476" s="328"/>
    </row>
    <row r="1477" spans="1:16" ht="22.5" x14ac:dyDescent="0.2">
      <c r="A1477" s="49"/>
      <c r="B1477" s="49"/>
      <c r="C1477" s="709"/>
      <c r="D1477" s="519"/>
      <c r="E1477" s="581" t="s">
        <v>251</v>
      </c>
      <c r="F1477" s="391"/>
      <c r="G1477" s="334"/>
      <c r="H1477" s="393"/>
      <c r="I1477" s="339" t="s">
        <v>814</v>
      </c>
      <c r="J1477" s="259"/>
      <c r="K1477" s="80"/>
      <c r="L1477" s="260"/>
    </row>
    <row r="1478" spans="1:16" ht="15" x14ac:dyDescent="0.2">
      <c r="A1478" s="49"/>
      <c r="B1478" s="49"/>
      <c r="C1478" s="709"/>
      <c r="D1478" s="519"/>
      <c r="E1478" s="579"/>
      <c r="F1478" s="311">
        <v>268</v>
      </c>
      <c r="G1478" s="47"/>
      <c r="H1478" s="312" t="s">
        <v>270</v>
      </c>
      <c r="I1478" s="220" t="s">
        <v>20</v>
      </c>
      <c r="J1478" s="64">
        <v>2500000</v>
      </c>
      <c r="K1478" s="60"/>
      <c r="L1478" s="59">
        <f>SUM(J1478:K1478)</f>
        <v>2500000</v>
      </c>
    </row>
    <row r="1479" spans="1:16" ht="15" x14ac:dyDescent="0.2">
      <c r="A1479" s="49"/>
      <c r="B1479" s="49"/>
      <c r="C1479" s="709"/>
      <c r="D1479" s="519"/>
      <c r="E1479" s="579"/>
      <c r="F1479" s="311"/>
      <c r="G1479" s="55" t="s">
        <v>37</v>
      </c>
      <c r="H1479" s="312"/>
      <c r="I1479" s="220" t="s">
        <v>38</v>
      </c>
      <c r="J1479" s="64">
        <f>SUM(J1478)</f>
        <v>2500000</v>
      </c>
      <c r="K1479" s="64"/>
      <c r="L1479" s="59">
        <f t="shared" ref="L1479" si="83">SUM(J1479:K1479)</f>
        <v>2500000</v>
      </c>
    </row>
    <row r="1480" spans="1:16" ht="15" x14ac:dyDescent="0.2">
      <c r="A1480" s="49"/>
      <c r="B1480" s="49"/>
      <c r="C1480" s="709"/>
      <c r="D1480" s="519"/>
      <c r="E1480" s="579"/>
      <c r="F1480" s="311"/>
      <c r="G1480" s="47"/>
      <c r="H1480" s="312"/>
      <c r="I1480" s="65" t="s">
        <v>710</v>
      </c>
      <c r="J1480" s="56">
        <f>SUM(J1478)</f>
        <v>2500000</v>
      </c>
      <c r="K1480" s="56"/>
      <c r="L1480" s="56">
        <f>SUM(L1478)</f>
        <v>2500000</v>
      </c>
    </row>
    <row r="1481" spans="1:16" s="190" customFormat="1" ht="15" x14ac:dyDescent="0.25">
      <c r="A1481" s="646"/>
      <c r="B1481" s="509"/>
      <c r="C1481" s="515"/>
      <c r="D1481" s="509"/>
      <c r="E1481" s="585"/>
      <c r="F1481" s="311"/>
      <c r="G1481" s="321"/>
      <c r="H1481" s="311"/>
      <c r="I1481" s="728"/>
      <c r="J1481" s="30"/>
      <c r="K1481" s="31"/>
      <c r="L1481" s="61"/>
      <c r="M1481" s="17"/>
      <c r="N1481" s="929"/>
      <c r="O1481" s="188"/>
      <c r="P1481" s="927"/>
    </row>
    <row r="1482" spans="1:16" s="190" customFormat="1" ht="15" x14ac:dyDescent="0.25">
      <c r="A1482" s="519"/>
      <c r="B1482" s="509"/>
      <c r="C1482" s="515"/>
      <c r="D1482" s="509"/>
      <c r="E1482" s="583"/>
      <c r="F1482" s="439"/>
      <c r="G1482" s="329"/>
      <c r="H1482" s="439"/>
      <c r="I1482" s="396" t="s">
        <v>237</v>
      </c>
      <c r="J1482" s="397"/>
      <c r="K1482" s="397"/>
      <c r="L1482" s="415"/>
      <c r="M1482" s="17"/>
      <c r="N1482" s="929"/>
      <c r="O1482" s="188"/>
      <c r="P1482" s="927"/>
    </row>
    <row r="1483" spans="1:16" x14ac:dyDescent="0.2">
      <c r="A1483" s="519"/>
      <c r="B1483" s="49"/>
      <c r="D1483" s="49"/>
      <c r="E1483" s="580" t="s">
        <v>252</v>
      </c>
      <c r="F1483" s="439"/>
      <c r="G1483" s="329"/>
      <c r="H1483" s="460"/>
      <c r="I1483" s="398" t="s">
        <v>636</v>
      </c>
      <c r="J1483" s="399"/>
      <c r="K1483" s="399"/>
      <c r="L1483" s="402"/>
    </row>
    <row r="1484" spans="1:16" x14ac:dyDescent="0.2">
      <c r="A1484" s="49"/>
      <c r="B1484" s="646"/>
      <c r="C1484" s="646"/>
      <c r="D1484" s="646"/>
      <c r="E1484" s="626"/>
      <c r="F1484" s="311"/>
      <c r="G1484" s="321"/>
      <c r="H1484" s="312"/>
      <c r="I1484" s="266"/>
      <c r="J1484" s="31"/>
      <c r="K1484" s="31"/>
      <c r="L1484" s="77"/>
    </row>
    <row r="1485" spans="1:16" ht="15" x14ac:dyDescent="0.25">
      <c r="A1485" s="519"/>
      <c r="B1485" s="49"/>
      <c r="C1485" s="49">
        <v>620</v>
      </c>
      <c r="D1485" s="49"/>
      <c r="E1485" s="579"/>
      <c r="F1485" s="311"/>
      <c r="G1485" s="47"/>
      <c r="H1485" s="315"/>
      <c r="I1485" s="287" t="s">
        <v>105</v>
      </c>
      <c r="J1485" s="76"/>
      <c r="K1485" s="76"/>
      <c r="L1485" s="57"/>
    </row>
    <row r="1486" spans="1:16" x14ac:dyDescent="0.2">
      <c r="A1486" s="519"/>
      <c r="B1486" s="49"/>
      <c r="D1486" s="519"/>
      <c r="E1486" s="579"/>
      <c r="F1486" s="311"/>
      <c r="G1486" s="47"/>
      <c r="H1486" s="470"/>
      <c r="I1486" s="233"/>
      <c r="J1486" s="31"/>
      <c r="K1486" s="31"/>
      <c r="L1486" s="61"/>
    </row>
    <row r="1487" spans="1:16" x14ac:dyDescent="0.2">
      <c r="A1487" s="367"/>
      <c r="B1487" s="436"/>
      <c r="C1487" s="436"/>
      <c r="D1487" s="613"/>
      <c r="E1487" s="582"/>
      <c r="F1487" s="311">
        <v>269</v>
      </c>
      <c r="G1487" s="47"/>
      <c r="H1487" s="311">
        <v>424</v>
      </c>
      <c r="I1487" s="220" t="s">
        <v>223</v>
      </c>
      <c r="J1487" s="59">
        <v>17300000</v>
      </c>
      <c r="K1487" s="59"/>
      <c r="L1487" s="59">
        <f>SUM(J1487+K1487)</f>
        <v>17300000</v>
      </c>
    </row>
    <row r="1488" spans="1:16" x14ac:dyDescent="0.2">
      <c r="A1488" s="519"/>
      <c r="B1488" s="49"/>
      <c r="D1488" s="519"/>
      <c r="E1488" s="579"/>
      <c r="F1488" s="311"/>
      <c r="G1488" s="47"/>
      <c r="H1488" s="729"/>
      <c r="I1488" s="229" t="s">
        <v>610</v>
      </c>
      <c r="J1488" s="60">
        <f>SUM(J1487)</f>
        <v>17300000</v>
      </c>
      <c r="K1488" s="60"/>
      <c r="L1488" s="60">
        <f t="shared" ref="L1488" si="84">SUM(L1487)</f>
        <v>17300000</v>
      </c>
    </row>
    <row r="1489" spans="1:12" ht="15" x14ac:dyDescent="0.2">
      <c r="A1489" s="730" t="s">
        <v>217</v>
      </c>
      <c r="B1489" s="730"/>
      <c r="C1489" s="503"/>
      <c r="D1489" s="503"/>
      <c r="E1489" s="584"/>
      <c r="F1489" s="441"/>
      <c r="G1489" s="55" t="s">
        <v>37</v>
      </c>
      <c r="H1489" s="731"/>
      <c r="I1489" s="220" t="s">
        <v>38</v>
      </c>
      <c r="J1489" s="59">
        <f>SUM(J1488)</f>
        <v>17300000</v>
      </c>
      <c r="K1489" s="59"/>
      <c r="L1489" s="59">
        <f>SUM(J1489+K1489)</f>
        <v>17300000</v>
      </c>
    </row>
    <row r="1490" spans="1:12" ht="15" x14ac:dyDescent="0.2">
      <c r="A1490" s="732"/>
      <c r="B1490" s="732"/>
      <c r="C1490" s="503"/>
      <c r="D1490" s="503"/>
      <c r="E1490" s="584"/>
      <c r="F1490" s="311"/>
      <c r="G1490" s="230"/>
      <c r="H1490" s="475"/>
      <c r="I1490" s="263"/>
      <c r="J1490" s="192"/>
      <c r="K1490" s="192"/>
      <c r="L1490" s="327"/>
    </row>
    <row r="1491" spans="1:12" ht="15" x14ac:dyDescent="0.2">
      <c r="A1491" s="730"/>
      <c r="B1491" s="730"/>
      <c r="C1491" s="503"/>
      <c r="D1491" s="503"/>
      <c r="E1491" s="583"/>
      <c r="F1491" s="810"/>
      <c r="G1491" s="329"/>
      <c r="H1491" s="733"/>
      <c r="I1491" s="396" t="s">
        <v>412</v>
      </c>
      <c r="J1491" s="719"/>
      <c r="K1491" s="719"/>
      <c r="L1491" s="673"/>
    </row>
    <row r="1492" spans="1:12" ht="15" x14ac:dyDescent="0.2">
      <c r="A1492" s="730"/>
      <c r="B1492" s="730"/>
      <c r="C1492" s="734"/>
      <c r="D1492" s="735"/>
      <c r="E1492" s="736" t="s">
        <v>501</v>
      </c>
      <c r="F1492" s="810"/>
      <c r="G1492" s="737"/>
      <c r="H1492" s="460"/>
      <c r="I1492" s="738" t="s">
        <v>464</v>
      </c>
      <c r="J1492" s="739"/>
      <c r="K1492" s="739"/>
      <c r="L1492" s="740"/>
    </row>
    <row r="1493" spans="1:12" ht="15" x14ac:dyDescent="0.2">
      <c r="A1493" s="730"/>
      <c r="B1493" s="730"/>
      <c r="C1493" s="741"/>
      <c r="D1493" s="742"/>
      <c r="E1493" s="743"/>
      <c r="F1493" s="443"/>
      <c r="G1493" s="744"/>
      <c r="H1493" s="475"/>
      <c r="I1493" s="745"/>
      <c r="J1493" s="746"/>
      <c r="K1493" s="746"/>
      <c r="L1493" s="747"/>
    </row>
    <row r="1494" spans="1:12" ht="15" x14ac:dyDescent="0.2">
      <c r="A1494" s="730"/>
      <c r="B1494" s="730"/>
      <c r="C1494" s="748">
        <v>620</v>
      </c>
      <c r="D1494" s="749"/>
      <c r="E1494" s="750"/>
      <c r="F1494" s="443"/>
      <c r="G1494" s="323"/>
      <c r="H1494" s="313"/>
      <c r="I1494" s="751" t="s">
        <v>105</v>
      </c>
      <c r="J1494" s="752"/>
      <c r="K1494" s="752"/>
      <c r="L1494" s="753"/>
    </row>
    <row r="1495" spans="1:12" x14ac:dyDescent="0.2">
      <c r="A1495" s="519"/>
      <c r="B1495" s="49"/>
      <c r="D1495" s="519"/>
      <c r="E1495" s="579"/>
      <c r="F1495" s="443"/>
      <c r="G1495" s="323"/>
      <c r="H1495" s="647"/>
      <c r="I1495" s="754"/>
      <c r="J1495" s="755"/>
      <c r="K1495" s="755"/>
      <c r="L1495" s="756"/>
    </row>
    <row r="1496" spans="1:12" x14ac:dyDescent="0.2">
      <c r="A1496" s="519"/>
      <c r="B1496" s="49"/>
      <c r="D1496" s="519"/>
      <c r="E1496" s="579"/>
      <c r="F1496" s="443">
        <v>270</v>
      </c>
      <c r="G1496" s="193"/>
      <c r="H1496" s="476" t="s">
        <v>415</v>
      </c>
      <c r="I1496" s="302" t="s">
        <v>416</v>
      </c>
      <c r="J1496" s="221">
        <v>144000000</v>
      </c>
      <c r="K1496" s="221"/>
      <c r="L1496" s="221">
        <f>SUM(J1496+K1496)</f>
        <v>144000000</v>
      </c>
    </row>
    <row r="1497" spans="1:12" x14ac:dyDescent="0.2">
      <c r="A1497" s="519"/>
      <c r="B1497" s="49"/>
      <c r="D1497" s="519"/>
      <c r="E1497" s="579"/>
      <c r="F1497" s="311"/>
      <c r="G1497" s="323"/>
      <c r="H1497" s="313"/>
      <c r="I1497" s="303" t="s">
        <v>587</v>
      </c>
      <c r="J1497" s="253">
        <f>SUM(J1496)</f>
        <v>144000000</v>
      </c>
      <c r="K1497" s="253"/>
      <c r="L1497" s="253">
        <f t="shared" ref="L1497" si="85">SUM(L1496)</f>
        <v>144000000</v>
      </c>
    </row>
    <row r="1498" spans="1:12" x14ac:dyDescent="0.2">
      <c r="A1498" s="519"/>
      <c r="B1498" s="49"/>
      <c r="C1498" s="503"/>
      <c r="D1498" s="503"/>
      <c r="E1498" s="584"/>
      <c r="F1498" s="311"/>
      <c r="G1498" s="55" t="s">
        <v>37</v>
      </c>
      <c r="H1498" s="471"/>
      <c r="I1498" s="271" t="s">
        <v>38</v>
      </c>
      <c r="J1498" s="121">
        <f>SUM(J1497)</f>
        <v>144000000</v>
      </c>
      <c r="K1498" s="121"/>
      <c r="L1498" s="121">
        <f>SUM(J1498+K1498)</f>
        <v>144000000</v>
      </c>
    </row>
    <row r="1499" spans="1:12" x14ac:dyDescent="0.2">
      <c r="A1499" s="645"/>
      <c r="B1499" s="646"/>
      <c r="C1499" s="503"/>
      <c r="D1499" s="503"/>
      <c r="E1499" s="584"/>
      <c r="F1499" s="311"/>
      <c r="G1499" s="321"/>
      <c r="H1499" s="312"/>
      <c r="I1499" s="728"/>
      <c r="J1499" s="30"/>
      <c r="K1499" s="30"/>
      <c r="L1499" s="61"/>
    </row>
    <row r="1500" spans="1:12" x14ac:dyDescent="0.2">
      <c r="A1500" s="519"/>
      <c r="B1500" s="49"/>
      <c r="D1500" s="519"/>
      <c r="E1500" s="583"/>
      <c r="F1500" s="439"/>
      <c r="G1500" s="329"/>
      <c r="H1500" s="457"/>
      <c r="I1500" s="396" t="s">
        <v>237</v>
      </c>
      <c r="J1500" s="494"/>
      <c r="K1500" s="397"/>
      <c r="L1500" s="331"/>
    </row>
    <row r="1501" spans="1:12" ht="15" x14ac:dyDescent="0.25">
      <c r="A1501" s="519"/>
      <c r="B1501" s="49"/>
      <c r="C1501" s="646"/>
      <c r="D1501" s="645"/>
      <c r="E1501" s="580" t="s">
        <v>252</v>
      </c>
      <c r="F1501" s="439"/>
      <c r="G1501" s="329"/>
      <c r="H1501" s="472"/>
      <c r="I1501" s="398" t="s">
        <v>636</v>
      </c>
      <c r="J1501" s="486"/>
      <c r="K1501" s="399"/>
      <c r="L1501" s="400"/>
    </row>
    <row r="1502" spans="1:12" ht="15" x14ac:dyDescent="0.25">
      <c r="A1502" s="519"/>
      <c r="B1502" s="49"/>
      <c r="D1502" s="49"/>
      <c r="E1502" s="579"/>
      <c r="F1502" s="311"/>
      <c r="G1502" s="321"/>
      <c r="H1502" s="315"/>
      <c r="I1502" s="266"/>
      <c r="J1502" s="30"/>
      <c r="K1502" s="31"/>
      <c r="L1502" s="61"/>
    </row>
    <row r="1503" spans="1:12" ht="15" x14ac:dyDescent="0.25">
      <c r="A1503" s="519"/>
      <c r="B1503" s="49"/>
      <c r="C1503" s="49">
        <v>360</v>
      </c>
      <c r="D1503" s="49"/>
      <c r="E1503" s="579"/>
      <c r="F1503" s="311"/>
      <c r="G1503" s="47"/>
      <c r="H1503" s="315"/>
      <c r="I1503" s="238" t="s">
        <v>155</v>
      </c>
      <c r="J1503" s="326"/>
      <c r="K1503" s="76"/>
      <c r="L1503" s="57"/>
    </row>
    <row r="1504" spans="1:12" ht="15" x14ac:dyDescent="0.25">
      <c r="A1504" s="519"/>
      <c r="B1504" s="49"/>
      <c r="C1504" s="503"/>
      <c r="D1504" s="503"/>
      <c r="E1504" s="584"/>
      <c r="F1504" s="311"/>
      <c r="G1504" s="47"/>
      <c r="H1504" s="315"/>
      <c r="I1504" s="26"/>
      <c r="J1504" s="30"/>
      <c r="K1504" s="31"/>
      <c r="L1504" s="61"/>
    </row>
    <row r="1505" spans="1:16" x14ac:dyDescent="0.2">
      <c r="A1505" s="519"/>
      <c r="B1505" s="49"/>
      <c r="D1505" s="519"/>
      <c r="E1505" s="579"/>
      <c r="F1505" s="311">
        <v>271</v>
      </c>
      <c r="G1505" s="47"/>
      <c r="H1505" s="312" t="s">
        <v>46</v>
      </c>
      <c r="I1505" s="220" t="s">
        <v>10</v>
      </c>
      <c r="J1505" s="59">
        <v>6000000</v>
      </c>
      <c r="K1505" s="59"/>
      <c r="L1505" s="59">
        <f>SUM(J1505:K1505)</f>
        <v>6000000</v>
      </c>
    </row>
    <row r="1506" spans="1:16" x14ac:dyDescent="0.2">
      <c r="A1506" s="519"/>
      <c r="B1506" s="49"/>
      <c r="D1506" s="519"/>
      <c r="E1506" s="579"/>
      <c r="F1506" s="311">
        <v>272</v>
      </c>
      <c r="G1506" s="47"/>
      <c r="H1506" s="312" t="s">
        <v>269</v>
      </c>
      <c r="I1506" s="220" t="s">
        <v>35</v>
      </c>
      <c r="J1506" s="59">
        <v>9300000</v>
      </c>
      <c r="K1506" s="59"/>
      <c r="L1506" s="59">
        <f t="shared" ref="L1506:L1507" si="86">SUM(J1506:K1506)</f>
        <v>9300000</v>
      </c>
    </row>
    <row r="1507" spans="1:16" x14ac:dyDescent="0.2">
      <c r="A1507" s="613"/>
      <c r="B1507" s="436"/>
      <c r="C1507" s="436"/>
      <c r="D1507" s="613"/>
      <c r="E1507" s="582"/>
      <c r="F1507" s="311">
        <v>273</v>
      </c>
      <c r="G1507" s="47"/>
      <c r="H1507" s="312" t="s">
        <v>570</v>
      </c>
      <c r="I1507" s="270" t="s">
        <v>21</v>
      </c>
      <c r="J1507" s="59">
        <v>4000000</v>
      </c>
      <c r="K1507" s="59"/>
      <c r="L1507" s="59">
        <f t="shared" si="86"/>
        <v>4000000</v>
      </c>
    </row>
    <row r="1508" spans="1:16" s="190" customFormat="1" ht="15" x14ac:dyDescent="0.2">
      <c r="A1508" s="519"/>
      <c r="B1508" s="436"/>
      <c r="C1508" s="438"/>
      <c r="D1508" s="50"/>
      <c r="E1508" s="585"/>
      <c r="F1508" s="311"/>
      <c r="G1508" s="47"/>
      <c r="H1508" s="470"/>
      <c r="I1508" s="229" t="s">
        <v>610</v>
      </c>
      <c r="J1508" s="60">
        <f>SUM(J1505:J1507)</f>
        <v>19300000</v>
      </c>
      <c r="K1508" s="60"/>
      <c r="L1508" s="60">
        <f>SUM(J1508:K1508)</f>
        <v>19300000</v>
      </c>
      <c r="M1508" s="17"/>
      <c r="N1508" s="929"/>
      <c r="O1508" s="188"/>
      <c r="P1508" s="927"/>
    </row>
    <row r="1509" spans="1:16" s="190" customFormat="1" ht="15" x14ac:dyDescent="0.25">
      <c r="A1509" s="519"/>
      <c r="B1509" s="436"/>
      <c r="C1509" s="438"/>
      <c r="D1509" s="50"/>
      <c r="E1509" s="579"/>
      <c r="F1509" s="441"/>
      <c r="G1509" s="55" t="s">
        <v>37</v>
      </c>
      <c r="H1509" s="314"/>
      <c r="I1509" s="220" t="s">
        <v>38</v>
      </c>
      <c r="J1509" s="59">
        <f>SUM(J1508)</f>
        <v>19300000</v>
      </c>
      <c r="K1509" s="59"/>
      <c r="L1509" s="59">
        <f>SUM(J1508:K1508)</f>
        <v>19300000</v>
      </c>
      <c r="M1509" s="17"/>
      <c r="N1509" s="929"/>
      <c r="O1509" s="188"/>
      <c r="P1509" s="927"/>
    </row>
    <row r="1510" spans="1:16" ht="15" x14ac:dyDescent="0.25">
      <c r="A1510" s="519"/>
      <c r="B1510" s="436"/>
      <c r="C1510" s="438"/>
      <c r="E1510" s="579"/>
      <c r="F1510" s="441"/>
      <c r="G1510" s="230"/>
      <c r="H1510" s="315"/>
      <c r="I1510" s="263"/>
      <c r="J1510" s="30"/>
      <c r="K1510" s="192"/>
      <c r="L1510" s="327"/>
    </row>
    <row r="1511" spans="1:16" ht="15" x14ac:dyDescent="0.25">
      <c r="A1511" s="519"/>
      <c r="B1511" s="436"/>
      <c r="C1511" s="438"/>
      <c r="E1511" s="581" t="s">
        <v>251</v>
      </c>
      <c r="F1511" s="391"/>
      <c r="G1511" s="334"/>
      <c r="H1511" s="469"/>
      <c r="I1511" s="757" t="s">
        <v>813</v>
      </c>
      <c r="J1511" s="76"/>
      <c r="K1511" s="362"/>
      <c r="L1511" s="363"/>
    </row>
    <row r="1512" spans="1:16" ht="15" x14ac:dyDescent="0.25">
      <c r="A1512" s="519"/>
      <c r="B1512" s="49"/>
      <c r="C1512" s="438"/>
      <c r="D1512" s="49"/>
      <c r="E1512" s="579"/>
      <c r="F1512" s="441"/>
      <c r="G1512" s="230"/>
      <c r="H1512" s="315"/>
      <c r="I1512" s="18"/>
      <c r="J1512" s="31"/>
      <c r="K1512" s="250"/>
      <c r="L1512" s="251"/>
    </row>
    <row r="1513" spans="1:16" ht="15" x14ac:dyDescent="0.2">
      <c r="A1513" s="519"/>
      <c r="B1513" s="49"/>
      <c r="C1513" s="438"/>
      <c r="D1513" s="49"/>
      <c r="E1513" s="579"/>
      <c r="F1513" s="441">
        <v>274</v>
      </c>
      <c r="G1513" s="230"/>
      <c r="H1513" s="470" t="s">
        <v>417</v>
      </c>
      <c r="I1513" s="270" t="s">
        <v>6</v>
      </c>
      <c r="J1513" s="59">
        <v>1500000</v>
      </c>
      <c r="K1513" s="54"/>
      <c r="L1513" s="54">
        <f t="shared" ref="L1513:L1518" si="87">SUM(J1513+K1513)</f>
        <v>1500000</v>
      </c>
    </row>
    <row r="1514" spans="1:16" ht="15" x14ac:dyDescent="0.2">
      <c r="A1514" s="519"/>
      <c r="B1514" s="49"/>
      <c r="C1514" s="438"/>
      <c r="D1514" s="49"/>
      <c r="E1514" s="579"/>
      <c r="F1514" s="441">
        <v>275</v>
      </c>
      <c r="G1514" s="230"/>
      <c r="H1514" s="470" t="s">
        <v>588</v>
      </c>
      <c r="I1514" s="270" t="s">
        <v>7</v>
      </c>
      <c r="J1514" s="59">
        <v>600000</v>
      </c>
      <c r="K1514" s="54"/>
      <c r="L1514" s="54">
        <f t="shared" si="87"/>
        <v>600000</v>
      </c>
    </row>
    <row r="1515" spans="1:16" ht="15" x14ac:dyDescent="0.2">
      <c r="A1515" s="519"/>
      <c r="B1515" s="49"/>
      <c r="C1515" s="438"/>
      <c r="D1515" s="49"/>
      <c r="E1515" s="579"/>
      <c r="F1515" s="441">
        <v>276</v>
      </c>
      <c r="G1515" s="230"/>
      <c r="H1515" s="312" t="s">
        <v>80</v>
      </c>
      <c r="I1515" s="220" t="s">
        <v>9</v>
      </c>
      <c r="J1515" s="59">
        <v>1300000</v>
      </c>
      <c r="K1515" s="54"/>
      <c r="L1515" s="54">
        <f t="shared" si="87"/>
        <v>1300000</v>
      </c>
    </row>
    <row r="1516" spans="1:16" x14ac:dyDescent="0.2">
      <c r="A1516" s="519"/>
      <c r="B1516" s="49"/>
      <c r="D1516" s="519"/>
      <c r="E1516" s="579"/>
      <c r="F1516" s="441">
        <v>277</v>
      </c>
      <c r="G1516" s="230"/>
      <c r="H1516" s="312" t="s">
        <v>46</v>
      </c>
      <c r="I1516" s="220" t="s">
        <v>10</v>
      </c>
      <c r="J1516" s="59">
        <v>2500000</v>
      </c>
      <c r="K1516" s="54"/>
      <c r="L1516" s="54">
        <f t="shared" si="87"/>
        <v>2500000</v>
      </c>
    </row>
    <row r="1517" spans="1:16" x14ac:dyDescent="0.2">
      <c r="A1517" s="519"/>
      <c r="B1517" s="49"/>
      <c r="D1517" s="519"/>
      <c r="E1517" s="579"/>
      <c r="F1517" s="441">
        <v>278</v>
      </c>
      <c r="G1517" s="230"/>
      <c r="H1517" s="312" t="s">
        <v>224</v>
      </c>
      <c r="I1517" s="220" t="s">
        <v>35</v>
      </c>
      <c r="J1517" s="59">
        <v>3400000</v>
      </c>
      <c r="K1517" s="54"/>
      <c r="L1517" s="54">
        <f t="shared" si="87"/>
        <v>3400000</v>
      </c>
    </row>
    <row r="1518" spans="1:16" s="190" customFormat="1" x14ac:dyDescent="0.2">
      <c r="A1518" s="519"/>
      <c r="B1518" s="49"/>
      <c r="C1518" s="49"/>
      <c r="D1518" s="519"/>
      <c r="E1518" s="579"/>
      <c r="F1518" s="441">
        <v>279</v>
      </c>
      <c r="G1518" s="230"/>
      <c r="H1518" s="311">
        <v>512</v>
      </c>
      <c r="I1518" s="270" t="s">
        <v>21</v>
      </c>
      <c r="J1518" s="59">
        <v>10000000</v>
      </c>
      <c r="K1518" s="54"/>
      <c r="L1518" s="54">
        <f t="shared" si="87"/>
        <v>10000000</v>
      </c>
      <c r="M1518" s="17"/>
      <c r="N1518" s="929"/>
      <c r="O1518" s="188"/>
      <c r="P1518" s="927"/>
    </row>
    <row r="1519" spans="1:16" x14ac:dyDescent="0.2">
      <c r="A1519" s="645"/>
      <c r="B1519" s="646"/>
      <c r="C1519" s="646"/>
      <c r="D1519" s="664"/>
      <c r="E1519" s="626"/>
      <c r="F1519" s="311"/>
      <c r="G1519" s="320"/>
      <c r="H1519" s="647"/>
      <c r="I1519" s="295" t="s">
        <v>742</v>
      </c>
      <c r="J1519" s="351">
        <f>SUM(J1513:J1518)</f>
        <v>19300000</v>
      </c>
      <c r="K1519" s="758"/>
      <c r="L1519" s="758">
        <f>SUM(L1513:L1518)</f>
        <v>19300000</v>
      </c>
    </row>
    <row r="1520" spans="1:16" ht="15" x14ac:dyDescent="0.25">
      <c r="A1520" s="503"/>
      <c r="B1520" s="503"/>
      <c r="C1520" s="511"/>
      <c r="D1520" s="503"/>
      <c r="E1520" s="584"/>
      <c r="F1520" s="311"/>
      <c r="G1520" s="55" t="s">
        <v>37</v>
      </c>
      <c r="H1520" s="312"/>
      <c r="I1520" s="220" t="s">
        <v>38</v>
      </c>
      <c r="J1520" s="59">
        <f>SUM(J1519)</f>
        <v>19300000</v>
      </c>
      <c r="K1520" s="199"/>
      <c r="L1520" s="59">
        <f>SUM(J1519:K1519)</f>
        <v>19300000</v>
      </c>
    </row>
    <row r="1521" spans="1:12" ht="15" x14ac:dyDescent="0.25">
      <c r="A1521" s="503"/>
      <c r="B1521" s="503"/>
      <c r="C1521" s="511"/>
      <c r="D1521" s="503"/>
      <c r="E1521" s="584"/>
      <c r="F1521" s="442"/>
      <c r="G1521" s="47"/>
      <c r="H1521" s="313"/>
      <c r="I1521" s="269"/>
      <c r="J1521" s="30"/>
      <c r="K1521" s="192"/>
      <c r="L1521" s="327"/>
    </row>
    <row r="1522" spans="1:12" x14ac:dyDescent="0.2">
      <c r="A1522" s="689"/>
      <c r="B1522" s="690"/>
      <c r="C1522" s="690"/>
      <c r="D1522" s="657">
        <v>2001</v>
      </c>
      <c r="E1522" s="617"/>
      <c r="F1522" s="701"/>
      <c r="G1522" s="691"/>
      <c r="H1522" s="759"/>
      <c r="I1522" s="693" t="s">
        <v>633</v>
      </c>
      <c r="J1522" s="662">
        <f>SUM(J1552+J1565+J1571+J1576+J1582+J1587)</f>
        <v>430523100</v>
      </c>
      <c r="K1522" s="662">
        <f t="shared" ref="K1522:L1522" si="88">SUM(K1552+K1565+K1571+K1576+K1582+K1587)</f>
        <v>10500000</v>
      </c>
      <c r="L1522" s="662">
        <f t="shared" si="88"/>
        <v>441023100</v>
      </c>
    </row>
    <row r="1523" spans="1:12" x14ac:dyDescent="0.2">
      <c r="A1523" s="519"/>
      <c r="B1523" s="49"/>
      <c r="D1523" s="519"/>
      <c r="E1523" s="579"/>
      <c r="F1523" s="311"/>
      <c r="G1523" s="321"/>
      <c r="H1523" s="313"/>
      <c r="I1523" s="266"/>
      <c r="J1523" s="192"/>
      <c r="K1523" s="192"/>
      <c r="L1523" s="327"/>
    </row>
    <row r="1524" spans="1:12" x14ac:dyDescent="0.2">
      <c r="B1524" s="503"/>
      <c r="C1524" s="503"/>
      <c r="D1524" s="503"/>
      <c r="E1524" s="583"/>
      <c r="F1524" s="439"/>
      <c r="G1524" s="329"/>
      <c r="H1524" s="439"/>
      <c r="I1524" s="396" t="s">
        <v>272</v>
      </c>
      <c r="J1524" s="672"/>
      <c r="K1524" s="672"/>
      <c r="L1524" s="673" t="s">
        <v>217</v>
      </c>
    </row>
    <row r="1525" spans="1:12" x14ac:dyDescent="0.2">
      <c r="D1525" s="49"/>
      <c r="E1525" s="580" t="s">
        <v>229</v>
      </c>
      <c r="F1525" s="439"/>
      <c r="G1525" s="329"/>
      <c r="H1525" s="439"/>
      <c r="I1525" s="398" t="s">
        <v>228</v>
      </c>
      <c r="J1525" s="676"/>
      <c r="K1525" s="676"/>
      <c r="L1525" s="413"/>
    </row>
    <row r="1526" spans="1:12" ht="15" x14ac:dyDescent="0.25">
      <c r="B1526" s="49"/>
      <c r="D1526" s="49"/>
      <c r="E1526" s="579"/>
      <c r="F1526" s="311"/>
      <c r="G1526" s="47"/>
      <c r="H1526" s="315"/>
      <c r="I1526" s="760"/>
      <c r="J1526" s="250"/>
      <c r="K1526" s="250"/>
      <c r="L1526" s="251"/>
    </row>
    <row r="1527" spans="1:12" ht="15" x14ac:dyDescent="0.25">
      <c r="B1527" s="49"/>
      <c r="C1527" s="49">
        <v>911</v>
      </c>
      <c r="D1527" s="49"/>
      <c r="E1527" s="579"/>
      <c r="F1527" s="311"/>
      <c r="G1527" s="47"/>
      <c r="H1527" s="315"/>
      <c r="I1527" s="279" t="s">
        <v>59</v>
      </c>
      <c r="J1527" s="383"/>
      <c r="K1527" s="383"/>
      <c r="L1527" s="376"/>
    </row>
    <row r="1528" spans="1:12" ht="15" x14ac:dyDescent="0.25">
      <c r="B1528" s="696" t="s">
        <v>60</v>
      </c>
      <c r="D1528" s="49"/>
      <c r="E1528" s="579"/>
      <c r="F1528" s="311"/>
      <c r="G1528" s="47"/>
      <c r="H1528" s="315"/>
      <c r="I1528" s="761" t="s">
        <v>61</v>
      </c>
      <c r="J1528" s="762"/>
      <c r="K1528" s="762"/>
      <c r="L1528" s="763"/>
    </row>
    <row r="1529" spans="1:12" ht="15" x14ac:dyDescent="0.25">
      <c r="D1529" s="49"/>
      <c r="E1529" s="579"/>
      <c r="F1529" s="311"/>
      <c r="G1529" s="47"/>
      <c r="H1529" s="315"/>
      <c r="I1529" s="233"/>
      <c r="J1529" s="250"/>
      <c r="K1529" s="250"/>
      <c r="L1529" s="251"/>
    </row>
    <row r="1530" spans="1:12" x14ac:dyDescent="0.2">
      <c r="D1530" s="49"/>
      <c r="E1530" s="579"/>
      <c r="F1530" s="311">
        <v>280</v>
      </c>
      <c r="G1530" s="47"/>
      <c r="H1530" s="311">
        <v>411</v>
      </c>
      <c r="I1530" s="220" t="s">
        <v>2</v>
      </c>
      <c r="J1530" s="231">
        <v>117694000</v>
      </c>
      <c r="K1530" s="231"/>
      <c r="L1530" s="54">
        <f>SUM(J1530+K1530)</f>
        <v>117694000</v>
      </c>
    </row>
    <row r="1531" spans="1:12" x14ac:dyDescent="0.2">
      <c r="D1531" s="49"/>
      <c r="E1531" s="579"/>
      <c r="F1531" s="311">
        <v>281</v>
      </c>
      <c r="G1531" s="47"/>
      <c r="H1531" s="311">
        <v>412</v>
      </c>
      <c r="I1531" s="270" t="s">
        <v>3</v>
      </c>
      <c r="J1531" s="231">
        <v>20185000</v>
      </c>
      <c r="K1531" s="231"/>
      <c r="L1531" s="54">
        <f t="shared" ref="L1531:L1551" si="89">SUM(J1531+K1531)</f>
        <v>20185000</v>
      </c>
    </row>
    <row r="1532" spans="1:12" x14ac:dyDescent="0.2">
      <c r="D1532" s="49"/>
      <c r="E1532" s="579"/>
      <c r="F1532" s="311">
        <v>282</v>
      </c>
      <c r="G1532" s="47"/>
      <c r="H1532" s="311">
        <v>413</v>
      </c>
      <c r="I1532" s="220" t="s">
        <v>33</v>
      </c>
      <c r="J1532" s="53">
        <v>2840000</v>
      </c>
      <c r="K1532" s="231"/>
      <c r="L1532" s="54">
        <f t="shared" si="89"/>
        <v>2840000</v>
      </c>
    </row>
    <row r="1533" spans="1:12" x14ac:dyDescent="0.2">
      <c r="D1533" s="49"/>
      <c r="E1533" s="579"/>
      <c r="F1533" s="311">
        <v>283</v>
      </c>
      <c r="G1533" s="47"/>
      <c r="H1533" s="311">
        <v>414</v>
      </c>
      <c r="I1533" s="220" t="s">
        <v>34</v>
      </c>
      <c r="J1533" s="53">
        <v>4530000</v>
      </c>
      <c r="K1533" s="231">
        <v>9000000</v>
      </c>
      <c r="L1533" s="54">
        <f t="shared" si="89"/>
        <v>13530000</v>
      </c>
    </row>
    <row r="1534" spans="1:12" x14ac:dyDescent="0.2">
      <c r="D1534" s="49"/>
      <c r="E1534" s="579"/>
      <c r="F1534" s="311">
        <v>284</v>
      </c>
      <c r="G1534" s="47"/>
      <c r="H1534" s="311">
        <v>415</v>
      </c>
      <c r="I1534" s="270" t="s">
        <v>5</v>
      </c>
      <c r="J1534" s="53">
        <v>7000000</v>
      </c>
      <c r="K1534" s="231"/>
      <c r="L1534" s="54">
        <f t="shared" si="89"/>
        <v>7000000</v>
      </c>
    </row>
    <row r="1535" spans="1:12" x14ac:dyDescent="0.2">
      <c r="D1535" s="49"/>
      <c r="E1535" s="579"/>
      <c r="F1535" s="311">
        <v>285</v>
      </c>
      <c r="G1535" s="47"/>
      <c r="H1535" s="311">
        <v>416</v>
      </c>
      <c r="I1535" s="270" t="s">
        <v>6</v>
      </c>
      <c r="J1535" s="53">
        <v>1600000</v>
      </c>
      <c r="K1535" s="231"/>
      <c r="L1535" s="54">
        <f t="shared" si="89"/>
        <v>1600000</v>
      </c>
    </row>
    <row r="1536" spans="1:12" x14ac:dyDescent="0.2">
      <c r="D1536" s="49"/>
      <c r="E1536" s="579"/>
      <c r="F1536" s="311">
        <v>286</v>
      </c>
      <c r="G1536" s="47"/>
      <c r="H1536" s="311">
        <v>421</v>
      </c>
      <c r="I1536" s="270" t="s">
        <v>7</v>
      </c>
      <c r="J1536" s="53">
        <f>25000000+160000</f>
        <v>25160000</v>
      </c>
      <c r="K1536" s="231">
        <v>850000</v>
      </c>
      <c r="L1536" s="54">
        <f t="shared" si="89"/>
        <v>26010000</v>
      </c>
    </row>
    <row r="1537" spans="4:12" x14ac:dyDescent="0.2">
      <c r="D1537" s="49"/>
      <c r="E1537" s="579"/>
      <c r="F1537" s="311">
        <v>287</v>
      </c>
      <c r="G1537" s="47"/>
      <c r="H1537" s="311">
        <v>422</v>
      </c>
      <c r="I1537" s="220" t="s">
        <v>8</v>
      </c>
      <c r="J1537" s="53">
        <v>750000</v>
      </c>
      <c r="K1537" s="231"/>
      <c r="L1537" s="54">
        <f t="shared" si="89"/>
        <v>750000</v>
      </c>
    </row>
    <row r="1538" spans="4:12" x14ac:dyDescent="0.2">
      <c r="D1538" s="49"/>
      <c r="E1538" s="579"/>
      <c r="F1538" s="311">
        <v>288</v>
      </c>
      <c r="G1538" s="47"/>
      <c r="H1538" s="311">
        <v>423</v>
      </c>
      <c r="I1538" s="220" t="s">
        <v>9</v>
      </c>
      <c r="J1538" s="53">
        <f>5000000+497600</f>
        <v>5497600</v>
      </c>
      <c r="K1538" s="231"/>
      <c r="L1538" s="54">
        <f t="shared" si="89"/>
        <v>5497600</v>
      </c>
    </row>
    <row r="1539" spans="4:12" x14ac:dyDescent="0.2">
      <c r="D1539" s="49"/>
      <c r="E1539" s="579"/>
      <c r="F1539" s="311">
        <v>289</v>
      </c>
      <c r="G1539" s="47"/>
      <c r="H1539" s="311">
        <v>424</v>
      </c>
      <c r="I1539" s="220" t="s">
        <v>10</v>
      </c>
      <c r="J1539" s="53">
        <v>3500000</v>
      </c>
      <c r="K1539" s="231">
        <v>650000</v>
      </c>
      <c r="L1539" s="54">
        <f t="shared" si="89"/>
        <v>4150000</v>
      </c>
    </row>
    <row r="1540" spans="4:12" x14ac:dyDescent="0.2">
      <c r="D1540" s="49"/>
      <c r="E1540" s="579"/>
      <c r="F1540" s="311">
        <v>290</v>
      </c>
      <c r="G1540" s="47"/>
      <c r="H1540" s="311">
        <v>425</v>
      </c>
      <c r="I1540" s="220" t="s">
        <v>11</v>
      </c>
      <c r="J1540" s="53">
        <v>12000000</v>
      </c>
      <c r="K1540" s="231"/>
      <c r="L1540" s="54">
        <f t="shared" si="89"/>
        <v>12000000</v>
      </c>
    </row>
    <row r="1541" spans="4:12" x14ac:dyDescent="0.2">
      <c r="D1541" s="49"/>
      <c r="E1541" s="579"/>
      <c r="F1541" s="311">
        <v>291</v>
      </c>
      <c r="G1541" s="47"/>
      <c r="H1541" s="311">
        <v>426</v>
      </c>
      <c r="I1541" s="220" t="s">
        <v>35</v>
      </c>
      <c r="J1541" s="53">
        <f>33400000+2250000</f>
        <v>35650000</v>
      </c>
      <c r="K1541" s="231"/>
      <c r="L1541" s="54">
        <f t="shared" si="89"/>
        <v>35650000</v>
      </c>
    </row>
    <row r="1542" spans="4:12" x14ac:dyDescent="0.2">
      <c r="D1542" s="49"/>
      <c r="E1542" s="579"/>
      <c r="F1542" s="311">
        <v>292</v>
      </c>
      <c r="G1542" s="47"/>
      <c r="H1542" s="311">
        <v>431</v>
      </c>
      <c r="I1542" s="220" t="s">
        <v>12</v>
      </c>
      <c r="J1542" s="53">
        <v>200000</v>
      </c>
      <c r="K1542" s="231"/>
      <c r="L1542" s="54">
        <f t="shared" si="89"/>
        <v>200000</v>
      </c>
    </row>
    <row r="1543" spans="4:12" x14ac:dyDescent="0.2">
      <c r="D1543" s="49"/>
      <c r="E1543" s="579"/>
      <c r="F1543" s="311">
        <v>293</v>
      </c>
      <c r="G1543" s="47"/>
      <c r="H1543" s="311">
        <v>441</v>
      </c>
      <c r="I1543" s="220" t="s">
        <v>13</v>
      </c>
      <c r="J1543" s="53">
        <v>100000</v>
      </c>
      <c r="K1543" s="231"/>
      <c r="L1543" s="54">
        <f t="shared" si="89"/>
        <v>100000</v>
      </c>
    </row>
    <row r="1544" spans="4:12" x14ac:dyDescent="0.2">
      <c r="D1544" s="49"/>
      <c r="E1544" s="579"/>
      <c r="F1544" s="311">
        <v>294</v>
      </c>
      <c r="G1544" s="47"/>
      <c r="H1544" s="311">
        <v>444</v>
      </c>
      <c r="I1544" s="220" t="s">
        <v>14</v>
      </c>
      <c r="J1544" s="53">
        <v>200000</v>
      </c>
      <c r="K1544" s="231"/>
      <c r="L1544" s="54">
        <f t="shared" si="89"/>
        <v>200000</v>
      </c>
    </row>
    <row r="1545" spans="4:12" x14ac:dyDescent="0.2">
      <c r="D1545" s="49"/>
      <c r="E1545" s="579"/>
      <c r="F1545" s="311">
        <v>295</v>
      </c>
      <c r="G1545" s="47"/>
      <c r="H1545" s="311">
        <v>465</v>
      </c>
      <c r="I1545" s="220" t="s">
        <v>221</v>
      </c>
      <c r="J1545" s="53">
        <v>13876500</v>
      </c>
      <c r="K1545" s="231"/>
      <c r="L1545" s="54">
        <f t="shared" si="89"/>
        <v>13876500</v>
      </c>
    </row>
    <row r="1546" spans="4:12" x14ac:dyDescent="0.2">
      <c r="D1546" s="49"/>
      <c r="E1546" s="579"/>
      <c r="F1546" s="311">
        <v>296</v>
      </c>
      <c r="G1546" s="47"/>
      <c r="H1546" s="311">
        <v>482</v>
      </c>
      <c r="I1546" s="220" t="s">
        <v>17</v>
      </c>
      <c r="J1546" s="53">
        <v>600000</v>
      </c>
      <c r="K1546" s="231"/>
      <c r="L1546" s="54">
        <f t="shared" si="89"/>
        <v>600000</v>
      </c>
    </row>
    <row r="1547" spans="4:12" x14ac:dyDescent="0.2">
      <c r="D1547" s="49"/>
      <c r="E1547" s="579"/>
      <c r="F1547" s="311">
        <v>297</v>
      </c>
      <c r="G1547" s="47"/>
      <c r="H1547" s="311">
        <v>483</v>
      </c>
      <c r="I1547" s="220" t="s">
        <v>18</v>
      </c>
      <c r="J1547" s="53">
        <v>2200000</v>
      </c>
      <c r="K1547" s="231"/>
      <c r="L1547" s="54">
        <f t="shared" si="89"/>
        <v>2200000</v>
      </c>
    </row>
    <row r="1548" spans="4:12" x14ac:dyDescent="0.2">
      <c r="D1548" s="49"/>
      <c r="E1548" s="579"/>
      <c r="F1548" s="311">
        <v>298</v>
      </c>
      <c r="G1548" s="47"/>
      <c r="H1548" s="311">
        <v>511</v>
      </c>
      <c r="I1548" s="220" t="s">
        <v>20</v>
      </c>
      <c r="J1548" s="53">
        <v>1200000</v>
      </c>
      <c r="K1548" s="231"/>
      <c r="L1548" s="54">
        <f t="shared" si="89"/>
        <v>1200000</v>
      </c>
    </row>
    <row r="1549" spans="4:12" x14ac:dyDescent="0.2">
      <c r="D1549" s="49"/>
      <c r="E1549" s="579"/>
      <c r="F1549" s="311">
        <v>299</v>
      </c>
      <c r="G1549" s="47"/>
      <c r="H1549" s="311">
        <v>512</v>
      </c>
      <c r="I1549" s="220" t="s">
        <v>21</v>
      </c>
      <c r="J1549" s="53">
        <v>20200000</v>
      </c>
      <c r="K1549" s="231"/>
      <c r="L1549" s="54">
        <f t="shared" si="89"/>
        <v>20200000</v>
      </c>
    </row>
    <row r="1550" spans="4:12" x14ac:dyDescent="0.2">
      <c r="D1550" s="49"/>
      <c r="E1550" s="579"/>
      <c r="F1550" s="311">
        <v>300</v>
      </c>
      <c r="G1550" s="47"/>
      <c r="H1550" s="311">
        <v>513</v>
      </c>
      <c r="I1550" s="220" t="s">
        <v>22</v>
      </c>
      <c r="J1550" s="53">
        <v>1000000</v>
      </c>
      <c r="K1550" s="231"/>
      <c r="L1550" s="54">
        <f t="shared" si="89"/>
        <v>1000000</v>
      </c>
    </row>
    <row r="1551" spans="4:12" x14ac:dyDescent="0.2">
      <c r="D1551" s="49"/>
      <c r="E1551" s="579"/>
      <c r="F1551" s="311">
        <v>301</v>
      </c>
      <c r="G1551" s="47"/>
      <c r="H1551" s="311">
        <v>515</v>
      </c>
      <c r="I1551" s="220" t="s">
        <v>23</v>
      </c>
      <c r="J1551" s="53">
        <v>800000</v>
      </c>
      <c r="K1551" s="231"/>
      <c r="L1551" s="54">
        <f t="shared" si="89"/>
        <v>800000</v>
      </c>
    </row>
    <row r="1552" spans="4:12" x14ac:dyDescent="0.2">
      <c r="D1552" s="49"/>
      <c r="E1552" s="579"/>
      <c r="F1552" s="311"/>
      <c r="G1552" s="47"/>
      <c r="H1552" s="313"/>
      <c r="I1552" s="229" t="s">
        <v>604</v>
      </c>
      <c r="J1552" s="199">
        <f>SUM(J1530:J1551)</f>
        <v>276783100</v>
      </c>
      <c r="K1552" s="199">
        <f t="shared" ref="K1552:L1552" si="90">SUM(K1530:K1551)</f>
        <v>10500000</v>
      </c>
      <c r="L1552" s="199">
        <f t="shared" si="90"/>
        <v>287283100</v>
      </c>
    </row>
    <row r="1553" spans="1:14" ht="15" x14ac:dyDescent="0.2">
      <c r="D1553" s="49"/>
      <c r="E1553" s="579"/>
      <c r="F1553" s="311"/>
      <c r="G1553" s="47"/>
      <c r="H1553" s="312"/>
      <c r="I1553" s="764"/>
      <c r="J1553" s="765"/>
      <c r="K1553" s="765"/>
      <c r="L1553" s="766"/>
    </row>
    <row r="1554" spans="1:14" x14ac:dyDescent="0.2">
      <c r="D1554" s="49"/>
      <c r="E1554" s="579"/>
      <c r="F1554" s="311"/>
      <c r="G1554" s="55" t="s">
        <v>37</v>
      </c>
      <c r="H1554" s="312"/>
      <c r="I1554" s="220" t="s">
        <v>38</v>
      </c>
      <c r="J1554" s="54">
        <f>SUM(J1557-J1556-J1555)</f>
        <v>263783100</v>
      </c>
      <c r="K1554" s="373"/>
      <c r="L1554" s="54">
        <f>SUM(J1554:K1554)</f>
        <v>263783100</v>
      </c>
    </row>
    <row r="1555" spans="1:14" x14ac:dyDescent="0.2">
      <c r="D1555" s="49"/>
      <c r="E1555" s="579"/>
      <c r="F1555" s="311"/>
      <c r="G1555" s="55" t="s">
        <v>113</v>
      </c>
      <c r="H1555" s="311"/>
      <c r="I1555" s="220" t="s">
        <v>280</v>
      </c>
      <c r="J1555" s="54">
        <v>13000000</v>
      </c>
      <c r="K1555" s="54">
        <f>SUM(K1557-K1556)</f>
        <v>9000000</v>
      </c>
      <c r="L1555" s="54">
        <f t="shared" ref="L1555:L1556" si="91">SUM(J1555:K1555)</f>
        <v>22000000</v>
      </c>
      <c r="N1555" s="716"/>
    </row>
    <row r="1556" spans="1:14" x14ac:dyDescent="0.2">
      <c r="C1556" s="503"/>
      <c r="D1556" s="503"/>
      <c r="E1556" s="584"/>
      <c r="F1556" s="311"/>
      <c r="G1556" s="55" t="s">
        <v>573</v>
      </c>
      <c r="H1556" s="311"/>
      <c r="I1556" s="220" t="s">
        <v>574</v>
      </c>
      <c r="J1556" s="54"/>
      <c r="K1556" s="54">
        <v>1500000</v>
      </c>
      <c r="L1556" s="54">
        <f t="shared" si="91"/>
        <v>1500000</v>
      </c>
    </row>
    <row r="1557" spans="1:14" x14ac:dyDescent="0.2">
      <c r="C1557" s="503"/>
      <c r="D1557" s="503"/>
      <c r="E1557" s="584"/>
      <c r="F1557" s="311"/>
      <c r="G1557" s="47"/>
      <c r="H1557" s="312"/>
      <c r="I1557" s="871" t="s">
        <v>729</v>
      </c>
      <c r="J1557" s="872">
        <f>SUM(J1552)</f>
        <v>276783100</v>
      </c>
      <c r="K1557" s="872">
        <f>SUM(K1552)</f>
        <v>10500000</v>
      </c>
      <c r="L1557" s="872">
        <f>SUM(J1557:K1557)</f>
        <v>287283100</v>
      </c>
    </row>
    <row r="1558" spans="1:14" x14ac:dyDescent="0.2">
      <c r="C1558" s="503"/>
      <c r="D1558" s="503"/>
      <c r="E1558" s="584"/>
      <c r="F1558" s="311"/>
      <c r="G1558" s="47"/>
      <c r="H1558" s="311"/>
      <c r="I1558" s="26"/>
      <c r="J1558" s="192"/>
      <c r="K1558" s="192"/>
      <c r="L1558" s="327"/>
      <c r="N1558" s="17"/>
    </row>
    <row r="1559" spans="1:14" ht="15" x14ac:dyDescent="0.25">
      <c r="A1559" s="767"/>
      <c r="B1559" s="767"/>
      <c r="C1559" s="49">
        <v>620</v>
      </c>
      <c r="D1559" s="49"/>
      <c r="E1559" s="579"/>
      <c r="F1559" s="311"/>
      <c r="G1559" s="47"/>
      <c r="H1559" s="315"/>
      <c r="I1559" s="297" t="s">
        <v>105</v>
      </c>
      <c r="J1559" s="768"/>
      <c r="K1559" s="768"/>
      <c r="L1559" s="769"/>
      <c r="N1559" s="17"/>
    </row>
    <row r="1560" spans="1:14" ht="15" x14ac:dyDescent="0.2">
      <c r="D1560" s="49"/>
      <c r="E1560" s="579"/>
      <c r="F1560" s="311"/>
      <c r="G1560" s="47"/>
      <c r="H1560" s="312"/>
      <c r="I1560" s="18"/>
      <c r="J1560" s="765"/>
      <c r="K1560" s="765"/>
      <c r="L1560" s="766"/>
      <c r="N1560" s="17"/>
    </row>
    <row r="1561" spans="1:14" ht="22.5" x14ac:dyDescent="0.2">
      <c r="D1561" s="708"/>
      <c r="E1561" s="581">
        <v>2001</v>
      </c>
      <c r="F1561" s="391"/>
      <c r="G1561" s="334"/>
      <c r="H1561" s="393"/>
      <c r="I1561" s="339" t="s">
        <v>758</v>
      </c>
      <c r="J1561" s="80"/>
      <c r="K1561" s="80"/>
      <c r="L1561" s="260"/>
      <c r="N1561" s="17"/>
    </row>
    <row r="1562" spans="1:14" x14ac:dyDescent="0.2">
      <c r="D1562" s="708"/>
      <c r="E1562" s="582"/>
      <c r="F1562" s="882" t="s">
        <v>972</v>
      </c>
      <c r="G1562" s="883"/>
      <c r="H1562" s="884" t="s">
        <v>46</v>
      </c>
      <c r="I1562" s="898" t="s">
        <v>10</v>
      </c>
      <c r="J1562" s="908">
        <v>200000</v>
      </c>
      <c r="K1562" s="909"/>
      <c r="L1562" s="887">
        <f>SUM(J1562:K1562)</f>
        <v>200000</v>
      </c>
      <c r="N1562" s="17"/>
    </row>
    <row r="1563" spans="1:14" x14ac:dyDescent="0.2">
      <c r="D1563" s="49"/>
      <c r="E1563" s="579"/>
      <c r="F1563" s="311">
        <v>302</v>
      </c>
      <c r="G1563" s="47"/>
      <c r="H1563" s="312" t="s">
        <v>270</v>
      </c>
      <c r="I1563" s="220" t="s">
        <v>20</v>
      </c>
      <c r="J1563" s="59">
        <v>132600000</v>
      </c>
      <c r="K1563" s="59"/>
      <c r="L1563" s="59">
        <f>SUM(J1563:K1563)</f>
        <v>132600000</v>
      </c>
    </row>
    <row r="1564" spans="1:14" x14ac:dyDescent="0.2">
      <c r="D1564" s="49"/>
      <c r="E1564" s="579"/>
      <c r="F1564" s="311"/>
      <c r="G1564" s="55" t="s">
        <v>37</v>
      </c>
      <c r="H1564" s="311"/>
      <c r="I1564" s="220" t="s">
        <v>38</v>
      </c>
      <c r="J1564" s="59">
        <f>SUM(J1562:J1563)</f>
        <v>132800000</v>
      </c>
      <c r="K1564" s="60"/>
      <c r="L1564" s="59">
        <f>SUM(J1564:K1564)</f>
        <v>132800000</v>
      </c>
    </row>
    <row r="1565" spans="1:14" ht="15" x14ac:dyDescent="0.25">
      <c r="D1565" s="49"/>
      <c r="E1565" s="579"/>
      <c r="F1565" s="311"/>
      <c r="G1565" s="47"/>
      <c r="H1565" s="314"/>
      <c r="I1565" s="229" t="s">
        <v>710</v>
      </c>
      <c r="J1565" s="60">
        <f>SUM(J1562:J1563)</f>
        <v>132800000</v>
      </c>
      <c r="K1565" s="60"/>
      <c r="L1565" s="60">
        <f>SUM(J1564:K1564)</f>
        <v>132800000</v>
      </c>
    </row>
    <row r="1566" spans="1:14" x14ac:dyDescent="0.2">
      <c r="D1566" s="49"/>
      <c r="E1566" s="579"/>
      <c r="F1566" s="311"/>
      <c r="G1566" s="47"/>
      <c r="H1566" s="312"/>
      <c r="I1566" s="18"/>
      <c r="J1566" s="192"/>
      <c r="K1566" s="192"/>
      <c r="L1566" s="192"/>
    </row>
    <row r="1567" spans="1:14" x14ac:dyDescent="0.2">
      <c r="D1567" s="49"/>
      <c r="E1567" s="581">
        <v>2001</v>
      </c>
      <c r="F1567" s="391"/>
      <c r="G1567" s="334"/>
      <c r="H1567" s="391"/>
      <c r="I1567" s="339" t="s">
        <v>812</v>
      </c>
      <c r="J1567" s="80"/>
      <c r="K1567" s="80"/>
      <c r="L1567" s="260"/>
    </row>
    <row r="1568" spans="1:14" x14ac:dyDescent="0.2">
      <c r="D1568" s="49"/>
      <c r="E1568" s="582"/>
      <c r="F1568" s="882" t="s">
        <v>971</v>
      </c>
      <c r="G1568" s="883"/>
      <c r="H1568" s="884" t="s">
        <v>46</v>
      </c>
      <c r="I1568" s="898" t="s">
        <v>10</v>
      </c>
      <c r="J1568" s="908">
        <v>200000</v>
      </c>
      <c r="K1568" s="909"/>
      <c r="L1568" s="887">
        <f>SUM(J1568:K1568)</f>
        <v>200000</v>
      </c>
    </row>
    <row r="1569" spans="4:14" x14ac:dyDescent="0.2">
      <c r="D1569" s="49"/>
      <c r="E1569" s="579"/>
      <c r="F1569" s="311">
        <v>303</v>
      </c>
      <c r="G1569" s="47"/>
      <c r="H1569" s="312" t="s">
        <v>270</v>
      </c>
      <c r="I1569" s="271" t="s">
        <v>20</v>
      </c>
      <c r="J1569" s="121">
        <v>7000000</v>
      </c>
      <c r="K1569" s="121"/>
      <c r="L1569" s="121">
        <f>SUM(J1569:K1569)</f>
        <v>7000000</v>
      </c>
    </row>
    <row r="1570" spans="4:14" x14ac:dyDescent="0.2">
      <c r="D1570" s="708"/>
      <c r="E1570" s="579"/>
      <c r="F1570" s="311"/>
      <c r="G1570" s="55" t="s">
        <v>37</v>
      </c>
      <c r="H1570" s="311"/>
      <c r="I1570" s="220" t="s">
        <v>38</v>
      </c>
      <c r="J1570" s="59">
        <f>SUM(J1568:J1569)</f>
        <v>7200000</v>
      </c>
      <c r="K1570" s="60"/>
      <c r="L1570" s="59">
        <f>SUM(J1570:K1570)</f>
        <v>7200000</v>
      </c>
    </row>
    <row r="1571" spans="4:14" ht="15" x14ac:dyDescent="0.25">
      <c r="D1571" s="49"/>
      <c r="E1571" s="579"/>
      <c r="F1571" s="311"/>
      <c r="G1571" s="47"/>
      <c r="H1571" s="315"/>
      <c r="I1571" s="229" t="s">
        <v>710</v>
      </c>
      <c r="J1571" s="60">
        <f>SUM(J1570)</f>
        <v>7200000</v>
      </c>
      <c r="K1571" s="60"/>
      <c r="L1571" s="60">
        <f>SUM(J1570:K1570)</f>
        <v>7200000</v>
      </c>
    </row>
    <row r="1572" spans="4:14" ht="15" x14ac:dyDescent="0.2">
      <c r="D1572" s="49"/>
      <c r="E1572" s="579"/>
      <c r="F1572" s="311"/>
      <c r="G1572" s="47"/>
      <c r="H1572" s="312"/>
      <c r="I1572" s="18"/>
      <c r="J1572" s="765"/>
      <c r="K1572" s="765"/>
      <c r="L1572" s="766"/>
    </row>
    <row r="1573" spans="4:14" ht="22.5" x14ac:dyDescent="0.2">
      <c r="D1573" s="49"/>
      <c r="E1573" s="581">
        <v>2001</v>
      </c>
      <c r="F1573" s="391"/>
      <c r="G1573" s="334"/>
      <c r="H1573" s="391"/>
      <c r="I1573" s="339" t="s">
        <v>757</v>
      </c>
      <c r="J1573" s="80"/>
      <c r="K1573" s="80"/>
      <c r="L1573" s="260"/>
    </row>
    <row r="1574" spans="4:14" ht="15" x14ac:dyDescent="0.2">
      <c r="D1574" s="49"/>
      <c r="E1574" s="584"/>
      <c r="F1574" s="311">
        <v>304</v>
      </c>
      <c r="G1574" s="47"/>
      <c r="H1574" s="477" t="s">
        <v>270</v>
      </c>
      <c r="I1574" s="302" t="s">
        <v>20</v>
      </c>
      <c r="J1574" s="59">
        <v>2500000</v>
      </c>
      <c r="K1574" s="60"/>
      <c r="L1574" s="59">
        <f>SUM(J1574:K1574)</f>
        <v>2500000</v>
      </c>
      <c r="N1574" s="942"/>
    </row>
    <row r="1575" spans="4:14" ht="15" x14ac:dyDescent="0.2">
      <c r="D1575" s="708"/>
      <c r="E1575" s="584"/>
      <c r="F1575" s="311"/>
      <c r="G1575" s="55" t="s">
        <v>37</v>
      </c>
      <c r="H1575" s="444"/>
      <c r="I1575" s="271" t="s">
        <v>38</v>
      </c>
      <c r="J1575" s="121">
        <f>SUM(J1574:J1574)</f>
        <v>2500000</v>
      </c>
      <c r="K1575" s="349"/>
      <c r="L1575" s="121">
        <f>SUM(J1574:K1574)</f>
        <v>2500000</v>
      </c>
    </row>
    <row r="1576" spans="4:14" ht="15" x14ac:dyDescent="0.25">
      <c r="D1576" s="49"/>
      <c r="E1576" s="579"/>
      <c r="F1576" s="311"/>
      <c r="G1576" s="47"/>
      <c r="H1576" s="315"/>
      <c r="I1576" s="229" t="s">
        <v>710</v>
      </c>
      <c r="J1576" s="60">
        <f>SUM(J1575)</f>
        <v>2500000</v>
      </c>
      <c r="K1576" s="60"/>
      <c r="L1576" s="60">
        <f>SUM(J1575:K1575)</f>
        <v>2500000</v>
      </c>
    </row>
    <row r="1577" spans="4:14" ht="15" x14ac:dyDescent="0.2">
      <c r="D1577" s="49"/>
      <c r="E1577" s="579"/>
      <c r="F1577" s="811"/>
      <c r="G1577" s="47"/>
      <c r="H1577" s="477"/>
      <c r="I1577" s="18"/>
      <c r="J1577" s="765"/>
      <c r="K1577" s="765"/>
      <c r="L1577" s="766"/>
    </row>
    <row r="1578" spans="4:14" ht="22.5" x14ac:dyDescent="0.2">
      <c r="D1578" s="49"/>
      <c r="E1578" s="581" t="s">
        <v>380</v>
      </c>
      <c r="F1578" s="812"/>
      <c r="G1578" s="487"/>
      <c r="H1578" s="488"/>
      <c r="I1578" s="489" t="s">
        <v>1074</v>
      </c>
      <c r="J1578" s="239"/>
      <c r="K1578" s="239"/>
      <c r="L1578" s="240"/>
    </row>
    <row r="1579" spans="4:14" x14ac:dyDescent="0.2">
      <c r="D1579" s="49"/>
      <c r="E1579" s="582"/>
      <c r="F1579" s="882" t="s">
        <v>970</v>
      </c>
      <c r="G1579" s="883"/>
      <c r="H1579" s="884" t="s">
        <v>46</v>
      </c>
      <c r="I1579" s="898" t="s">
        <v>10</v>
      </c>
      <c r="J1579" s="908">
        <v>200000</v>
      </c>
      <c r="K1579" s="909"/>
      <c r="L1579" s="887">
        <f>SUM(J1579:K1579)</f>
        <v>200000</v>
      </c>
    </row>
    <row r="1580" spans="4:14" ht="15" x14ac:dyDescent="0.2">
      <c r="D1580" s="49"/>
      <c r="E1580" s="579"/>
      <c r="F1580" s="443">
        <v>305</v>
      </c>
      <c r="G1580" s="241"/>
      <c r="H1580" s="477" t="s">
        <v>270</v>
      </c>
      <c r="I1580" s="302" t="s">
        <v>20</v>
      </c>
      <c r="J1580" s="231">
        <v>10740000</v>
      </c>
      <c r="K1580" s="231"/>
      <c r="L1580" s="231">
        <f>SUM(J1580:K1580)</f>
        <v>10740000</v>
      </c>
    </row>
    <row r="1581" spans="4:14" ht="15" x14ac:dyDescent="0.2">
      <c r="D1581" s="49"/>
      <c r="E1581" s="579"/>
      <c r="F1581" s="811"/>
      <c r="G1581" s="324" t="s">
        <v>37</v>
      </c>
      <c r="H1581" s="444"/>
      <c r="I1581" s="302" t="s">
        <v>38</v>
      </c>
      <c r="J1581" s="231">
        <f>SUM(J1579:J1580)</f>
        <v>10940000</v>
      </c>
      <c r="K1581" s="231"/>
      <c r="L1581" s="231">
        <f>SUM(J1581:K1581)</f>
        <v>10940000</v>
      </c>
    </row>
    <row r="1582" spans="4:14" ht="15" x14ac:dyDescent="0.25">
      <c r="D1582" s="49"/>
      <c r="E1582" s="579"/>
      <c r="F1582" s="811"/>
      <c r="G1582" s="241"/>
      <c r="H1582" s="315"/>
      <c r="I1582" s="304" t="s">
        <v>710</v>
      </c>
      <c r="J1582" s="242">
        <f>SUM(J1581)</f>
        <v>10940000</v>
      </c>
      <c r="K1582" s="231"/>
      <c r="L1582" s="252">
        <f>SUM(J1582:K1582)</f>
        <v>10940000</v>
      </c>
    </row>
    <row r="1583" spans="4:14" ht="15" x14ac:dyDescent="0.2">
      <c r="D1583" s="49"/>
      <c r="E1583" s="579"/>
      <c r="F1583" s="811"/>
      <c r="G1583" s="241"/>
      <c r="H1583" s="477"/>
      <c r="I1583" s="243"/>
      <c r="J1583" s="244"/>
      <c r="K1583" s="245"/>
      <c r="L1583" s="245"/>
    </row>
    <row r="1584" spans="4:14" ht="22.5" x14ac:dyDescent="0.2">
      <c r="D1584" s="49"/>
      <c r="E1584" s="581" t="s">
        <v>380</v>
      </c>
      <c r="F1584" s="812"/>
      <c r="G1584" s="487"/>
      <c r="H1584" s="393"/>
      <c r="I1584" s="490" t="s">
        <v>756</v>
      </c>
      <c r="J1584" s="246"/>
      <c r="K1584" s="246"/>
      <c r="L1584" s="247"/>
    </row>
    <row r="1585" spans="1:16" ht="15" x14ac:dyDescent="0.2">
      <c r="D1585" s="49"/>
      <c r="E1585" s="579"/>
      <c r="F1585" s="443">
        <v>306</v>
      </c>
      <c r="G1585" s="241"/>
      <c r="H1585" s="470" t="s">
        <v>270</v>
      </c>
      <c r="I1585" s="305" t="s">
        <v>20</v>
      </c>
      <c r="J1585" s="248">
        <v>300000</v>
      </c>
      <c r="K1585" s="248"/>
      <c r="L1585" s="248">
        <f>SUM(J1585:K1585)</f>
        <v>300000</v>
      </c>
    </row>
    <row r="1586" spans="1:16" ht="15" x14ac:dyDescent="0.2">
      <c r="A1586" s="711"/>
      <c r="B1586" s="711"/>
      <c r="C1586" s="646"/>
      <c r="D1586" s="646"/>
      <c r="E1586" s="626"/>
      <c r="F1586" s="811"/>
      <c r="G1586" s="324" t="s">
        <v>37</v>
      </c>
      <c r="H1586" s="470"/>
      <c r="I1586" s="302" t="s">
        <v>38</v>
      </c>
      <c r="J1586" s="231">
        <f>SUM(J1585:J1585)</f>
        <v>300000</v>
      </c>
      <c r="K1586" s="231"/>
      <c r="L1586" s="231">
        <f>SUM(J1585:K1585)</f>
        <v>300000</v>
      </c>
    </row>
    <row r="1587" spans="1:16" ht="15" x14ac:dyDescent="0.2">
      <c r="E1587" s="579"/>
      <c r="F1587" s="311"/>
      <c r="G1587" s="241"/>
      <c r="H1587" s="312"/>
      <c r="I1587" s="304" t="s">
        <v>704</v>
      </c>
      <c r="J1587" s="242">
        <f>SUM(J1586)</f>
        <v>300000</v>
      </c>
      <c r="K1587" s="231"/>
      <c r="L1587" s="252">
        <f>SUM(J1586:K1586)</f>
        <v>300000</v>
      </c>
      <c r="M1587" s="188"/>
    </row>
    <row r="1588" spans="1:16" x14ac:dyDescent="0.2">
      <c r="E1588" s="579"/>
      <c r="F1588" s="442"/>
      <c r="G1588" s="47"/>
      <c r="H1588" s="312"/>
      <c r="I1588" s="18"/>
      <c r="J1588" s="192"/>
      <c r="K1588" s="192"/>
      <c r="L1588" s="327"/>
    </row>
    <row r="1589" spans="1:16" x14ac:dyDescent="0.2">
      <c r="A1589" s="718"/>
      <c r="B1589" s="718"/>
      <c r="C1589" s="690"/>
      <c r="D1589" s="690">
        <v>2002</v>
      </c>
      <c r="E1589" s="617"/>
      <c r="F1589" s="701"/>
      <c r="G1589" s="691"/>
      <c r="H1589" s="759"/>
      <c r="I1589" s="693" t="s">
        <v>449</v>
      </c>
      <c r="J1589" s="694">
        <f>SUM(J1612+J1620)</f>
        <v>191375000</v>
      </c>
      <c r="K1589" s="770"/>
      <c r="L1589" s="722">
        <f>SUM(J1589:K1589)</f>
        <v>191375000</v>
      </c>
    </row>
    <row r="1590" spans="1:16" x14ac:dyDescent="0.2">
      <c r="D1590" s="49"/>
      <c r="E1590" s="579"/>
      <c r="F1590" s="311"/>
      <c r="G1590" s="321"/>
      <c r="H1590" s="311"/>
      <c r="I1590" s="266"/>
      <c r="J1590" s="30"/>
      <c r="K1590" s="31"/>
      <c r="L1590" s="61"/>
    </row>
    <row r="1591" spans="1:16" s="190" customFormat="1" x14ac:dyDescent="0.2">
      <c r="A1591" s="50"/>
      <c r="B1591" s="50"/>
      <c r="C1591" s="49"/>
      <c r="D1591" s="49"/>
      <c r="E1591" s="580" t="s">
        <v>230</v>
      </c>
      <c r="F1591" s="439"/>
      <c r="G1591" s="329"/>
      <c r="H1591" s="439"/>
      <c r="I1591" s="396" t="s">
        <v>272</v>
      </c>
      <c r="J1591" s="397"/>
      <c r="K1591" s="397"/>
      <c r="L1591" s="415"/>
      <c r="M1591" s="17"/>
      <c r="N1591" s="929"/>
      <c r="O1591" s="188"/>
      <c r="P1591" s="927"/>
    </row>
    <row r="1592" spans="1:16" ht="15" x14ac:dyDescent="0.25">
      <c r="D1592" s="49"/>
      <c r="E1592" s="580"/>
      <c r="F1592" s="439"/>
      <c r="G1592" s="329"/>
      <c r="H1592" s="472"/>
      <c r="I1592" s="398" t="s">
        <v>231</v>
      </c>
      <c r="J1592" s="399"/>
      <c r="K1592" s="399"/>
      <c r="L1592" s="402"/>
    </row>
    <row r="1593" spans="1:16" x14ac:dyDescent="0.2">
      <c r="C1593" s="503"/>
      <c r="D1593" s="49"/>
      <c r="E1593" s="579"/>
      <c r="F1593" s="311"/>
      <c r="G1593" s="47"/>
      <c r="H1593" s="312"/>
      <c r="I1593" s="28"/>
      <c r="J1593" s="31"/>
      <c r="K1593" s="31"/>
      <c r="L1593" s="77"/>
    </row>
    <row r="1594" spans="1:16" x14ac:dyDescent="0.2">
      <c r="C1594" s="49">
        <v>912</v>
      </c>
      <c r="D1594" s="49"/>
      <c r="E1594" s="579"/>
      <c r="F1594" s="311"/>
      <c r="G1594" s="47"/>
      <c r="H1594" s="312"/>
      <c r="I1594" s="287" t="s">
        <v>62</v>
      </c>
      <c r="J1594" s="76"/>
      <c r="K1594" s="76"/>
      <c r="L1594" s="218"/>
    </row>
    <row r="1595" spans="1:16" x14ac:dyDescent="0.2">
      <c r="D1595" s="49"/>
      <c r="E1595" s="579"/>
      <c r="F1595" s="311"/>
      <c r="G1595" s="47"/>
      <c r="H1595" s="312"/>
      <c r="I1595" s="233"/>
      <c r="J1595" s="31"/>
      <c r="K1595" s="31"/>
      <c r="L1595" s="77"/>
    </row>
    <row r="1596" spans="1:16" x14ac:dyDescent="0.2">
      <c r="D1596" s="49"/>
      <c r="E1596" s="579"/>
      <c r="F1596" s="311">
        <v>307</v>
      </c>
      <c r="G1596" s="47"/>
      <c r="H1596" s="311">
        <v>463</v>
      </c>
      <c r="I1596" s="270" t="s">
        <v>222</v>
      </c>
      <c r="J1596" s="60">
        <f>SUM(J1597:J1611)</f>
        <v>190674000</v>
      </c>
      <c r="K1596" s="60"/>
      <c r="L1596" s="60">
        <f>SUM(J1596:K1596)</f>
        <v>190674000</v>
      </c>
    </row>
    <row r="1597" spans="1:16" x14ac:dyDescent="0.2">
      <c r="D1597" s="49"/>
      <c r="E1597" s="579"/>
      <c r="F1597" s="311"/>
      <c r="G1597" s="47"/>
      <c r="H1597" s="312"/>
      <c r="I1597" s="220" t="s">
        <v>63</v>
      </c>
      <c r="J1597" s="59">
        <v>2170000</v>
      </c>
      <c r="K1597" s="59"/>
      <c r="L1597" s="60">
        <f t="shared" ref="L1597:L1612" si="92">SUM(J1597:K1597)</f>
        <v>2170000</v>
      </c>
    </row>
    <row r="1598" spans="1:16" x14ac:dyDescent="0.2">
      <c r="D1598" s="49"/>
      <c r="E1598" s="579"/>
      <c r="F1598" s="311"/>
      <c r="G1598" s="47"/>
      <c r="H1598" s="312"/>
      <c r="I1598" s="220" t="s">
        <v>64</v>
      </c>
      <c r="J1598" s="59">
        <v>3776000</v>
      </c>
      <c r="K1598" s="59"/>
      <c r="L1598" s="60">
        <f t="shared" si="92"/>
        <v>3776000</v>
      </c>
    </row>
    <row r="1599" spans="1:16" x14ac:dyDescent="0.2">
      <c r="D1599" s="49"/>
      <c r="E1599" s="579"/>
      <c r="F1599" s="311"/>
      <c r="G1599" s="47"/>
      <c r="H1599" s="312"/>
      <c r="I1599" s="220" t="s">
        <v>65</v>
      </c>
      <c r="J1599" s="59">
        <v>21200000</v>
      </c>
      <c r="K1599" s="59"/>
      <c r="L1599" s="60">
        <f t="shared" si="92"/>
        <v>21200000</v>
      </c>
    </row>
    <row r="1600" spans="1:16" x14ac:dyDescent="0.2">
      <c r="D1600" s="49"/>
      <c r="E1600" s="579"/>
      <c r="F1600" s="311"/>
      <c r="G1600" s="47"/>
      <c r="H1600" s="312"/>
      <c r="I1600" s="220" t="s">
        <v>66</v>
      </c>
      <c r="J1600" s="59">
        <v>6800000</v>
      </c>
      <c r="K1600" s="59"/>
      <c r="L1600" s="60">
        <f t="shared" si="92"/>
        <v>6800000</v>
      </c>
    </row>
    <row r="1601" spans="3:14" x14ac:dyDescent="0.2">
      <c r="D1601" s="49"/>
      <c r="E1601" s="579"/>
      <c r="F1601" s="311"/>
      <c r="G1601" s="47"/>
      <c r="H1601" s="312"/>
      <c r="I1601" s="270" t="s">
        <v>67</v>
      </c>
      <c r="J1601" s="59">
        <v>72953000</v>
      </c>
      <c r="K1601" s="59"/>
      <c r="L1601" s="60">
        <f t="shared" si="92"/>
        <v>72953000</v>
      </c>
    </row>
    <row r="1602" spans="3:14" x14ac:dyDescent="0.2">
      <c r="D1602" s="49"/>
      <c r="E1602" s="579"/>
      <c r="F1602" s="311"/>
      <c r="G1602" s="47"/>
      <c r="H1602" s="312"/>
      <c r="I1602" s="220" t="s">
        <v>68</v>
      </c>
      <c r="J1602" s="59">
        <v>3650000</v>
      </c>
      <c r="K1602" s="59"/>
      <c r="L1602" s="60">
        <f t="shared" si="92"/>
        <v>3650000</v>
      </c>
    </row>
    <row r="1603" spans="3:14" x14ac:dyDescent="0.2">
      <c r="D1603" s="49"/>
      <c r="E1603" s="579"/>
      <c r="F1603" s="311"/>
      <c r="G1603" s="47"/>
      <c r="H1603" s="311"/>
      <c r="I1603" s="220" t="s">
        <v>69</v>
      </c>
      <c r="J1603" s="59">
        <v>5740000</v>
      </c>
      <c r="K1603" s="59"/>
      <c r="L1603" s="60">
        <f t="shared" si="92"/>
        <v>5740000</v>
      </c>
    </row>
    <row r="1604" spans="3:14" x14ac:dyDescent="0.2">
      <c r="D1604" s="49"/>
      <c r="E1604" s="579"/>
      <c r="F1604" s="311"/>
      <c r="G1604" s="47"/>
      <c r="H1604" s="311"/>
      <c r="I1604" s="220" t="s">
        <v>70</v>
      </c>
      <c r="J1604" s="59">
        <v>4470000</v>
      </c>
      <c r="K1604" s="59"/>
      <c r="L1604" s="60">
        <f t="shared" si="92"/>
        <v>4470000</v>
      </c>
    </row>
    <row r="1605" spans="3:14" x14ac:dyDescent="0.2">
      <c r="D1605" s="49"/>
      <c r="E1605" s="579"/>
      <c r="F1605" s="311"/>
      <c r="G1605" s="47"/>
      <c r="H1605" s="311"/>
      <c r="I1605" s="220" t="s">
        <v>71</v>
      </c>
      <c r="J1605" s="59">
        <v>16450000</v>
      </c>
      <c r="K1605" s="59"/>
      <c r="L1605" s="60">
        <f t="shared" si="92"/>
        <v>16450000</v>
      </c>
    </row>
    <row r="1606" spans="3:14" x14ac:dyDescent="0.2">
      <c r="D1606" s="49"/>
      <c r="E1606" s="579"/>
      <c r="F1606" s="311"/>
      <c r="G1606" s="47"/>
      <c r="H1606" s="311"/>
      <c r="I1606" s="220" t="s">
        <v>72</v>
      </c>
      <c r="J1606" s="59">
        <v>11100000</v>
      </c>
      <c r="K1606" s="59"/>
      <c r="L1606" s="60">
        <f t="shared" si="92"/>
        <v>11100000</v>
      </c>
    </row>
    <row r="1607" spans="3:14" x14ac:dyDescent="0.2">
      <c r="D1607" s="49"/>
      <c r="E1607" s="579"/>
      <c r="F1607" s="311"/>
      <c r="G1607" s="47"/>
      <c r="H1607" s="312"/>
      <c r="I1607" s="220" t="s">
        <v>73</v>
      </c>
      <c r="J1607" s="59">
        <v>1190000</v>
      </c>
      <c r="K1607" s="59"/>
      <c r="L1607" s="60">
        <f t="shared" si="92"/>
        <v>1190000</v>
      </c>
    </row>
    <row r="1608" spans="3:14" x14ac:dyDescent="0.2">
      <c r="D1608" s="49"/>
      <c r="E1608" s="579"/>
      <c r="F1608" s="311"/>
      <c r="G1608" s="47"/>
      <c r="H1608" s="312"/>
      <c r="I1608" s="220" t="s">
        <v>218</v>
      </c>
      <c r="J1608" s="59">
        <v>3200000</v>
      </c>
      <c r="K1608" s="59"/>
      <c r="L1608" s="60">
        <f t="shared" si="92"/>
        <v>3200000</v>
      </c>
    </row>
    <row r="1609" spans="3:14" x14ac:dyDescent="0.2">
      <c r="D1609" s="49"/>
      <c r="E1609" s="579"/>
      <c r="F1609" s="311"/>
      <c r="G1609" s="47"/>
      <c r="H1609" s="313"/>
      <c r="I1609" s="220" t="s">
        <v>74</v>
      </c>
      <c r="J1609" s="59">
        <v>24450000</v>
      </c>
      <c r="K1609" s="59"/>
      <c r="L1609" s="60">
        <f t="shared" si="92"/>
        <v>24450000</v>
      </c>
    </row>
    <row r="1610" spans="3:14" ht="15" x14ac:dyDescent="0.25">
      <c r="E1610" s="579"/>
      <c r="F1610" s="311"/>
      <c r="G1610" s="47"/>
      <c r="H1610" s="315"/>
      <c r="I1610" s="220" t="s">
        <v>75</v>
      </c>
      <c r="J1610" s="59">
        <v>13175000</v>
      </c>
      <c r="K1610" s="59"/>
      <c r="L1610" s="60">
        <f t="shared" si="92"/>
        <v>13175000</v>
      </c>
    </row>
    <row r="1611" spans="3:14" x14ac:dyDescent="0.2">
      <c r="D1611" s="49"/>
      <c r="E1611" s="579"/>
      <c r="F1611" s="311"/>
      <c r="G1611" s="47"/>
      <c r="H1611" s="470"/>
      <c r="I1611" s="220" t="s">
        <v>77</v>
      </c>
      <c r="J1611" s="59">
        <v>350000</v>
      </c>
      <c r="K1611" s="59"/>
      <c r="L1611" s="60">
        <f t="shared" si="92"/>
        <v>350000</v>
      </c>
    </row>
    <row r="1612" spans="3:14" x14ac:dyDescent="0.2">
      <c r="D1612" s="49"/>
      <c r="E1612" s="579"/>
      <c r="F1612" s="311"/>
      <c r="G1612" s="47"/>
      <c r="H1612" s="312"/>
      <c r="I1612" s="229" t="s">
        <v>603</v>
      </c>
      <c r="J1612" s="60">
        <f>SUM(J1597:J1611)</f>
        <v>190674000</v>
      </c>
      <c r="K1612" s="60"/>
      <c r="L1612" s="60">
        <f t="shared" si="92"/>
        <v>190674000</v>
      </c>
      <c r="N1612" s="17"/>
    </row>
    <row r="1613" spans="3:14" ht="15" x14ac:dyDescent="0.25">
      <c r="D1613" s="49"/>
      <c r="E1613" s="579"/>
      <c r="F1613" s="441"/>
      <c r="G1613" s="47"/>
      <c r="H1613" s="315"/>
      <c r="I1613" s="28"/>
      <c r="J1613" s="366"/>
      <c r="K1613" s="366"/>
      <c r="L1613" s="367"/>
      <c r="N1613" s="17"/>
    </row>
    <row r="1614" spans="3:14" ht="15" x14ac:dyDescent="0.25">
      <c r="D1614" s="49"/>
      <c r="E1614" s="579"/>
      <c r="F1614" s="441"/>
      <c r="G1614" s="254" t="s">
        <v>37</v>
      </c>
      <c r="H1614" s="315"/>
      <c r="I1614" s="289" t="s">
        <v>38</v>
      </c>
      <c r="J1614" s="59">
        <f>SUM(J1612)</f>
        <v>190674000</v>
      </c>
      <c r="K1614" s="59"/>
      <c r="L1614" s="59">
        <f>SUM(L1612)</f>
        <v>190674000</v>
      </c>
      <c r="N1614" s="17"/>
    </row>
    <row r="1615" spans="3:14" ht="15" x14ac:dyDescent="0.25">
      <c r="D1615" s="49"/>
      <c r="E1615" s="579"/>
      <c r="F1615" s="311"/>
      <c r="G1615" s="230"/>
      <c r="H1615" s="315"/>
      <c r="I1615" s="18"/>
      <c r="J1615" s="30"/>
      <c r="K1615" s="30"/>
      <c r="L1615" s="61"/>
      <c r="M1615" s="188"/>
      <c r="N1615" s="17"/>
    </row>
    <row r="1616" spans="3:14" ht="22.5" x14ac:dyDescent="0.2">
      <c r="C1616" s="49">
        <v>620</v>
      </c>
      <c r="D1616" s="49"/>
      <c r="E1616" s="581" t="s">
        <v>381</v>
      </c>
      <c r="F1616" s="391"/>
      <c r="G1616" s="334"/>
      <c r="H1616" s="393"/>
      <c r="I1616" s="339" t="s">
        <v>755</v>
      </c>
      <c r="J1616" s="80"/>
      <c r="K1616" s="80"/>
      <c r="L1616" s="260"/>
    </row>
    <row r="1617" spans="1:12" x14ac:dyDescent="0.2">
      <c r="D1617" s="49"/>
      <c r="E1617" s="579"/>
      <c r="F1617" s="311">
        <v>308</v>
      </c>
      <c r="G1617" s="47"/>
      <c r="H1617" s="312" t="s">
        <v>80</v>
      </c>
      <c r="I1617" s="306" t="s">
        <v>9</v>
      </c>
      <c r="J1617" s="59">
        <v>1000</v>
      </c>
      <c r="K1617" s="59"/>
      <c r="L1617" s="59">
        <f>SUM(J1617:K1617)</f>
        <v>1000</v>
      </c>
    </row>
    <row r="1618" spans="1:12" x14ac:dyDescent="0.2">
      <c r="D1618" s="49"/>
      <c r="E1618" s="579"/>
      <c r="F1618" s="311">
        <v>309</v>
      </c>
      <c r="G1618" s="47"/>
      <c r="H1618" s="311">
        <v>511</v>
      </c>
      <c r="I1618" s="220" t="s">
        <v>584</v>
      </c>
      <c r="J1618" s="59">
        <v>700000</v>
      </c>
      <c r="K1618" s="60"/>
      <c r="L1618" s="59">
        <f t="shared" ref="L1618:L1619" si="93">SUM(J1618:K1618)</f>
        <v>700000</v>
      </c>
    </row>
    <row r="1619" spans="1:12" x14ac:dyDescent="0.2">
      <c r="A1619" s="711"/>
      <c r="B1619" s="711"/>
      <c r="C1619" s="646"/>
      <c r="D1619" s="646"/>
      <c r="E1619" s="626"/>
      <c r="F1619" s="311"/>
      <c r="G1619" s="55" t="s">
        <v>37</v>
      </c>
      <c r="H1619" s="647"/>
      <c r="I1619" s="220" t="s">
        <v>38</v>
      </c>
      <c r="J1619" s="59">
        <f>SUM(J1617:J1618)</f>
        <v>701000</v>
      </c>
      <c r="K1619" s="60"/>
      <c r="L1619" s="59">
        <f t="shared" si="93"/>
        <v>701000</v>
      </c>
    </row>
    <row r="1620" spans="1:12" x14ac:dyDescent="0.2">
      <c r="E1620" s="579"/>
      <c r="F1620" s="441"/>
      <c r="G1620" s="47"/>
      <c r="H1620" s="312"/>
      <c r="I1620" s="229" t="s">
        <v>710</v>
      </c>
      <c r="J1620" s="60">
        <f>SUM(J1619)</f>
        <v>701000</v>
      </c>
      <c r="K1620" s="60"/>
      <c r="L1620" s="60">
        <f>SUM(J1619:K1619)</f>
        <v>701000</v>
      </c>
    </row>
    <row r="1621" spans="1:12" x14ac:dyDescent="0.2">
      <c r="E1621" s="579"/>
      <c r="F1621" s="442"/>
      <c r="G1621" s="230"/>
      <c r="H1621" s="312"/>
      <c r="I1621" s="18"/>
      <c r="J1621" s="192"/>
      <c r="K1621" s="192"/>
      <c r="L1621" s="327"/>
    </row>
    <row r="1622" spans="1:12" x14ac:dyDescent="0.2">
      <c r="A1622" s="718"/>
      <c r="B1622" s="718"/>
      <c r="C1622" s="690"/>
      <c r="D1622" s="690">
        <v>2003</v>
      </c>
      <c r="E1622" s="617"/>
      <c r="F1622" s="701"/>
      <c r="G1622" s="691"/>
      <c r="H1622" s="701"/>
      <c r="I1622" s="693" t="s">
        <v>448</v>
      </c>
      <c r="J1622" s="694">
        <f>SUM(J1645+J1657)</f>
        <v>65003651.049999997</v>
      </c>
      <c r="K1622" s="694"/>
      <c r="L1622" s="722">
        <f>SUM(J1622:K1622)</f>
        <v>65003651.049999997</v>
      </c>
    </row>
    <row r="1623" spans="1:12" x14ac:dyDescent="0.2">
      <c r="D1623" s="49"/>
      <c r="E1623" s="579"/>
      <c r="F1623" s="311"/>
      <c r="G1623" s="321"/>
      <c r="H1623" s="311"/>
      <c r="I1623" s="266"/>
      <c r="J1623" s="80"/>
      <c r="K1623" s="80"/>
      <c r="L1623" s="260"/>
    </row>
    <row r="1624" spans="1:12" x14ac:dyDescent="0.2">
      <c r="D1624" s="49"/>
      <c r="E1624" s="580" t="s">
        <v>232</v>
      </c>
      <c r="F1624" s="439"/>
      <c r="G1624" s="329"/>
      <c r="H1624" s="439"/>
      <c r="I1624" s="396" t="s">
        <v>272</v>
      </c>
      <c r="J1624" s="494"/>
      <c r="K1624" s="494"/>
      <c r="L1624" s="331"/>
    </row>
    <row r="1625" spans="1:12" ht="15" x14ac:dyDescent="0.25">
      <c r="A1625" s="519"/>
      <c r="B1625" s="49"/>
      <c r="D1625" s="49"/>
      <c r="E1625" s="580"/>
      <c r="F1625" s="439"/>
      <c r="G1625" s="329"/>
      <c r="H1625" s="472"/>
      <c r="I1625" s="398" t="s">
        <v>233</v>
      </c>
      <c r="J1625" s="486"/>
      <c r="K1625" s="486"/>
      <c r="L1625" s="400"/>
    </row>
    <row r="1626" spans="1:12" x14ac:dyDescent="0.2">
      <c r="A1626" s="519"/>
      <c r="B1626" s="49"/>
      <c r="D1626" s="49"/>
      <c r="E1626" s="579"/>
      <c r="F1626" s="311"/>
      <c r="G1626" s="47"/>
      <c r="H1626" s="311"/>
      <c r="I1626" s="233"/>
      <c r="J1626" s="31"/>
      <c r="K1626" s="31"/>
      <c r="L1626" s="77"/>
    </row>
    <row r="1627" spans="1:12" x14ac:dyDescent="0.2">
      <c r="A1627" s="519"/>
      <c r="B1627" s="49"/>
      <c r="C1627" s="49">
        <v>920</v>
      </c>
      <c r="D1627" s="519"/>
      <c r="E1627" s="579"/>
      <c r="F1627" s="311"/>
      <c r="G1627" s="47"/>
      <c r="H1627" s="311"/>
      <c r="I1627" s="287" t="s">
        <v>76</v>
      </c>
      <c r="J1627" s="76"/>
      <c r="K1627" s="76"/>
      <c r="L1627" s="218"/>
    </row>
    <row r="1628" spans="1:12" x14ac:dyDescent="0.2">
      <c r="A1628" s="519"/>
      <c r="B1628" s="49"/>
      <c r="D1628" s="519"/>
      <c r="E1628" s="579"/>
      <c r="F1628" s="311"/>
      <c r="G1628" s="47"/>
      <c r="H1628" s="311"/>
      <c r="I1628" s="761"/>
      <c r="J1628" s="762"/>
      <c r="K1628" s="762"/>
      <c r="L1628" s="763"/>
    </row>
    <row r="1629" spans="1:12" x14ac:dyDescent="0.2">
      <c r="A1629" s="519"/>
      <c r="B1629" s="49"/>
      <c r="D1629" s="519"/>
      <c r="E1629" s="579"/>
      <c r="F1629" s="311">
        <v>310</v>
      </c>
      <c r="G1629" s="47"/>
      <c r="H1629" s="311">
        <v>463</v>
      </c>
      <c r="I1629" s="270" t="s">
        <v>222</v>
      </c>
      <c r="J1629" s="60">
        <f>SUM(J1630:J1644)</f>
        <v>60120000</v>
      </c>
      <c r="K1629" s="60"/>
      <c r="L1629" s="60">
        <f t="shared" ref="L1629" si="94">SUM(L1630:L1644)</f>
        <v>60120000</v>
      </c>
    </row>
    <row r="1630" spans="1:12" x14ac:dyDescent="0.2">
      <c r="A1630" s="519"/>
      <c r="B1630" s="49"/>
      <c r="D1630" s="519"/>
      <c r="E1630" s="579"/>
      <c r="F1630" s="311"/>
      <c r="G1630" s="47"/>
      <c r="H1630" s="311"/>
      <c r="I1630" s="220" t="s">
        <v>63</v>
      </c>
      <c r="J1630" s="59">
        <v>530000</v>
      </c>
      <c r="K1630" s="59"/>
      <c r="L1630" s="59">
        <f t="shared" ref="L1630:L1644" si="95">SUM(J1630+K1630)</f>
        <v>530000</v>
      </c>
    </row>
    <row r="1631" spans="1:12" x14ac:dyDescent="0.2">
      <c r="A1631" s="519"/>
      <c r="B1631" s="49"/>
      <c r="D1631" s="519"/>
      <c r="E1631" s="579"/>
      <c r="F1631" s="311"/>
      <c r="G1631" s="47"/>
      <c r="H1631" s="311"/>
      <c r="I1631" s="220" t="s">
        <v>64</v>
      </c>
      <c r="J1631" s="59">
        <v>1360000</v>
      </c>
      <c r="K1631" s="59"/>
      <c r="L1631" s="59">
        <f t="shared" si="95"/>
        <v>1360000</v>
      </c>
    </row>
    <row r="1632" spans="1:12" x14ac:dyDescent="0.2">
      <c r="A1632" s="519"/>
      <c r="B1632" s="49"/>
      <c r="D1632" s="519"/>
      <c r="E1632" s="579"/>
      <c r="F1632" s="311"/>
      <c r="G1632" s="47"/>
      <c r="H1632" s="311"/>
      <c r="I1632" s="220" t="s">
        <v>65</v>
      </c>
      <c r="J1632" s="59">
        <v>8750000</v>
      </c>
      <c r="K1632" s="59"/>
      <c r="L1632" s="59">
        <f t="shared" si="95"/>
        <v>8750000</v>
      </c>
    </row>
    <row r="1633" spans="1:14" x14ac:dyDescent="0.2">
      <c r="A1633" s="519"/>
      <c r="B1633" s="49"/>
      <c r="D1633" s="519"/>
      <c r="E1633" s="579"/>
      <c r="F1633" s="311"/>
      <c r="G1633" s="47"/>
      <c r="H1633" s="311"/>
      <c r="I1633" s="220" t="s">
        <v>66</v>
      </c>
      <c r="J1633" s="59">
        <v>2200000</v>
      </c>
      <c r="K1633" s="59"/>
      <c r="L1633" s="59">
        <f t="shared" si="95"/>
        <v>2200000</v>
      </c>
    </row>
    <row r="1634" spans="1:14" x14ac:dyDescent="0.2">
      <c r="A1634" s="519"/>
      <c r="B1634" s="49"/>
      <c r="D1634" s="519"/>
      <c r="E1634" s="579"/>
      <c r="F1634" s="311"/>
      <c r="G1634" s="47"/>
      <c r="H1634" s="311"/>
      <c r="I1634" s="270" t="s">
        <v>67</v>
      </c>
      <c r="J1634" s="59">
        <v>18800000</v>
      </c>
      <c r="K1634" s="59"/>
      <c r="L1634" s="59">
        <f t="shared" si="95"/>
        <v>18800000</v>
      </c>
    </row>
    <row r="1635" spans="1:14" x14ac:dyDescent="0.2">
      <c r="A1635" s="519"/>
      <c r="B1635" s="49"/>
      <c r="D1635" s="519"/>
      <c r="E1635" s="579"/>
      <c r="F1635" s="311"/>
      <c r="G1635" s="47"/>
      <c r="H1635" s="311"/>
      <c r="I1635" s="220" t="s">
        <v>68</v>
      </c>
      <c r="J1635" s="59">
        <v>1250000</v>
      </c>
      <c r="K1635" s="59"/>
      <c r="L1635" s="59">
        <f t="shared" si="95"/>
        <v>1250000</v>
      </c>
    </row>
    <row r="1636" spans="1:14" x14ac:dyDescent="0.2">
      <c r="A1636" s="519"/>
      <c r="B1636" s="49"/>
      <c r="D1636" s="519"/>
      <c r="E1636" s="579"/>
      <c r="F1636" s="311"/>
      <c r="G1636" s="47"/>
      <c r="H1636" s="311"/>
      <c r="I1636" s="220" t="s">
        <v>69</v>
      </c>
      <c r="J1636" s="59">
        <v>4350000</v>
      </c>
      <c r="K1636" s="59"/>
      <c r="L1636" s="59">
        <f t="shared" si="95"/>
        <v>4350000</v>
      </c>
    </row>
    <row r="1637" spans="1:14" x14ac:dyDescent="0.2">
      <c r="A1637" s="519"/>
      <c r="B1637" s="49"/>
      <c r="D1637" s="519"/>
      <c r="E1637" s="579"/>
      <c r="F1637" s="311"/>
      <c r="G1637" s="47"/>
      <c r="H1637" s="311"/>
      <c r="I1637" s="220" t="s">
        <v>70</v>
      </c>
      <c r="J1637" s="59">
        <v>7950000</v>
      </c>
      <c r="K1637" s="59"/>
      <c r="L1637" s="59">
        <f t="shared" si="95"/>
        <v>7950000</v>
      </c>
    </row>
    <row r="1638" spans="1:14" x14ac:dyDescent="0.2">
      <c r="A1638" s="519"/>
      <c r="B1638" s="49"/>
      <c r="D1638" s="519"/>
      <c r="E1638" s="579"/>
      <c r="F1638" s="311"/>
      <c r="G1638" s="47"/>
      <c r="H1638" s="311"/>
      <c r="I1638" s="220" t="s">
        <v>71</v>
      </c>
      <c r="J1638" s="59">
        <v>4800000</v>
      </c>
      <c r="K1638" s="59"/>
      <c r="L1638" s="59">
        <f t="shared" si="95"/>
        <v>4800000</v>
      </c>
    </row>
    <row r="1639" spans="1:14" x14ac:dyDescent="0.2">
      <c r="A1639" s="519"/>
      <c r="B1639" s="49"/>
      <c r="D1639" s="519"/>
      <c r="E1639" s="579"/>
      <c r="F1639" s="311"/>
      <c r="G1639" s="47"/>
      <c r="H1639" s="311"/>
      <c r="I1639" s="220" t="s">
        <v>72</v>
      </c>
      <c r="J1639" s="59">
        <v>4300000</v>
      </c>
      <c r="K1639" s="59"/>
      <c r="L1639" s="59">
        <f t="shared" si="95"/>
        <v>4300000</v>
      </c>
    </row>
    <row r="1640" spans="1:14" x14ac:dyDescent="0.2">
      <c r="A1640" s="519"/>
      <c r="B1640" s="49"/>
      <c r="D1640" s="519"/>
      <c r="E1640" s="579"/>
      <c r="F1640" s="311"/>
      <c r="G1640" s="47"/>
      <c r="H1640" s="311"/>
      <c r="I1640" s="220" t="s">
        <v>73</v>
      </c>
      <c r="J1640" s="59">
        <v>360000</v>
      </c>
      <c r="K1640" s="59"/>
      <c r="L1640" s="59">
        <f t="shared" si="95"/>
        <v>360000</v>
      </c>
    </row>
    <row r="1641" spans="1:14" x14ac:dyDescent="0.2">
      <c r="A1641" s="519"/>
      <c r="B1641" s="49"/>
      <c r="D1641" s="519"/>
      <c r="E1641" s="579"/>
      <c r="F1641" s="311"/>
      <c r="G1641" s="47"/>
      <c r="H1641" s="311"/>
      <c r="I1641" s="220" t="s">
        <v>215</v>
      </c>
      <c r="J1641" s="59">
        <v>500000</v>
      </c>
      <c r="K1641" s="59"/>
      <c r="L1641" s="59">
        <f t="shared" si="95"/>
        <v>500000</v>
      </c>
    </row>
    <row r="1642" spans="1:14" x14ac:dyDescent="0.2">
      <c r="A1642" s="519"/>
      <c r="B1642" s="49"/>
      <c r="D1642" s="519"/>
      <c r="E1642" s="579"/>
      <c r="F1642" s="311"/>
      <c r="G1642" s="47"/>
      <c r="H1642" s="313"/>
      <c r="I1642" s="220" t="s">
        <v>74</v>
      </c>
      <c r="J1642" s="59">
        <v>700000</v>
      </c>
      <c r="K1642" s="59"/>
      <c r="L1642" s="59">
        <f t="shared" si="95"/>
        <v>700000</v>
      </c>
    </row>
    <row r="1643" spans="1:14" x14ac:dyDescent="0.2">
      <c r="E1643" s="579"/>
      <c r="F1643" s="311"/>
      <c r="G1643" s="47"/>
      <c r="H1643" s="313"/>
      <c r="I1643" s="220" t="s">
        <v>75</v>
      </c>
      <c r="J1643" s="59">
        <v>4100000</v>
      </c>
      <c r="K1643" s="59"/>
      <c r="L1643" s="59">
        <f t="shared" si="95"/>
        <v>4100000</v>
      </c>
    </row>
    <row r="1644" spans="1:14" x14ac:dyDescent="0.2">
      <c r="A1644" s="519"/>
      <c r="B1644" s="49"/>
      <c r="D1644" s="519"/>
      <c r="E1644" s="579"/>
      <c r="F1644" s="311"/>
      <c r="G1644" s="47"/>
      <c r="H1644" s="312"/>
      <c r="I1644" s="220" t="s">
        <v>77</v>
      </c>
      <c r="J1644" s="59">
        <v>170000</v>
      </c>
      <c r="K1644" s="59"/>
      <c r="L1644" s="59">
        <f t="shared" si="95"/>
        <v>170000</v>
      </c>
    </row>
    <row r="1645" spans="1:14" x14ac:dyDescent="0.2">
      <c r="A1645" s="519"/>
      <c r="B1645" s="49"/>
      <c r="D1645" s="519"/>
      <c r="E1645" s="579"/>
      <c r="F1645" s="311"/>
      <c r="G1645" s="47"/>
      <c r="H1645" s="311"/>
      <c r="I1645" s="229" t="s">
        <v>602</v>
      </c>
      <c r="J1645" s="60">
        <f>SUM(J1630:J1644)</f>
        <v>60120000</v>
      </c>
      <c r="K1645" s="60"/>
      <c r="L1645" s="60">
        <f>SUM(L1630:L1644)</f>
        <v>60120000</v>
      </c>
    </row>
    <row r="1646" spans="1:14" x14ac:dyDescent="0.2">
      <c r="C1646" s="503"/>
      <c r="D1646" s="503"/>
      <c r="E1646" s="584"/>
      <c r="F1646" s="311"/>
      <c r="G1646" s="47"/>
      <c r="H1646" s="312"/>
      <c r="I1646" s="28"/>
      <c r="J1646" s="366"/>
      <c r="K1646" s="366"/>
      <c r="L1646" s="367"/>
    </row>
    <row r="1647" spans="1:14" x14ac:dyDescent="0.2">
      <c r="A1647" s="519"/>
      <c r="B1647" s="49"/>
      <c r="C1647" s="503"/>
      <c r="D1647" s="503"/>
      <c r="E1647" s="584"/>
      <c r="F1647" s="311"/>
      <c r="G1647" s="55" t="s">
        <v>37</v>
      </c>
      <c r="H1647" s="312"/>
      <c r="I1647" s="220" t="s">
        <v>38</v>
      </c>
      <c r="J1647" s="59">
        <f>SUM(J1645)</f>
        <v>60120000</v>
      </c>
      <c r="K1647" s="59"/>
      <c r="L1647" s="59">
        <f>SUM(J1647+K1647)</f>
        <v>60120000</v>
      </c>
    </row>
    <row r="1648" spans="1:14" ht="15" x14ac:dyDescent="0.25">
      <c r="C1648" s="503"/>
      <c r="D1648" s="503"/>
      <c r="E1648" s="584"/>
      <c r="F1648" s="311"/>
      <c r="G1648" s="47"/>
      <c r="H1648" s="315"/>
      <c r="I1648" s="26"/>
      <c r="J1648" s="30"/>
      <c r="K1648" s="30"/>
      <c r="L1648" s="61"/>
      <c r="N1648" s="17"/>
    </row>
    <row r="1649" spans="1:16" ht="15" x14ac:dyDescent="0.2">
      <c r="C1649" s="49">
        <v>920</v>
      </c>
      <c r="D1649" s="49"/>
      <c r="E1649" s="579"/>
      <c r="F1649" s="311"/>
      <c r="G1649" s="47"/>
      <c r="H1649" s="311"/>
      <c r="I1649" s="287" t="s">
        <v>76</v>
      </c>
      <c r="J1649" s="768"/>
      <c r="K1649" s="768"/>
      <c r="L1649" s="769"/>
      <c r="M1649" s="188"/>
    </row>
    <row r="1650" spans="1:16" x14ac:dyDescent="0.2">
      <c r="D1650" s="519"/>
      <c r="E1650" s="579"/>
      <c r="F1650" s="311"/>
      <c r="G1650" s="47"/>
      <c r="H1650" s="311"/>
      <c r="I1650" s="26"/>
      <c r="J1650" s="30"/>
      <c r="K1650" s="192"/>
      <c r="L1650" s="327"/>
      <c r="M1650" s="189"/>
    </row>
    <row r="1651" spans="1:16" ht="22.5" x14ac:dyDescent="0.2">
      <c r="D1651" s="49"/>
      <c r="E1651" s="581">
        <v>2003</v>
      </c>
      <c r="F1651" s="391"/>
      <c r="G1651" s="334"/>
      <c r="H1651" s="461"/>
      <c r="I1651" s="339" t="s">
        <v>811</v>
      </c>
      <c r="J1651" s="80"/>
      <c r="K1651" s="80"/>
      <c r="L1651" s="260"/>
    </row>
    <row r="1652" spans="1:16" x14ac:dyDescent="0.2">
      <c r="D1652" s="49"/>
      <c r="E1652" s="579"/>
      <c r="F1652" s="311">
        <v>311</v>
      </c>
      <c r="G1652" s="47"/>
      <c r="H1652" s="311">
        <v>463</v>
      </c>
      <c r="I1652" s="270" t="s">
        <v>222</v>
      </c>
      <c r="J1652" s="59">
        <f>SUM(J1653:J1654)</f>
        <v>4883651.05</v>
      </c>
      <c r="K1652" s="60"/>
      <c r="L1652" s="59">
        <f>SUM(J1652:K1652)</f>
        <v>4883651.05</v>
      </c>
    </row>
    <row r="1653" spans="1:16" s="190" customFormat="1" x14ac:dyDescent="0.2">
      <c r="A1653" s="50"/>
      <c r="B1653" s="50"/>
      <c r="C1653" s="49"/>
      <c r="D1653" s="49"/>
      <c r="E1653" s="579"/>
      <c r="F1653" s="311"/>
      <c r="G1653" s="47"/>
      <c r="H1653" s="312"/>
      <c r="I1653" s="220" t="s">
        <v>74</v>
      </c>
      <c r="J1653" s="59">
        <v>3706571.05</v>
      </c>
      <c r="K1653" s="60"/>
      <c r="L1653" s="59">
        <f t="shared" ref="L1653:L1656" si="96">SUM(J1653:K1653)</f>
        <v>3706571.05</v>
      </c>
      <c r="M1653" s="188"/>
      <c r="N1653" s="929"/>
      <c r="O1653" s="188"/>
      <c r="P1653" s="927"/>
    </row>
    <row r="1654" spans="1:16" s="191" customFormat="1" x14ac:dyDescent="0.2">
      <c r="A1654" s="50"/>
      <c r="B1654" s="50"/>
      <c r="C1654" s="49"/>
      <c r="D1654" s="49"/>
      <c r="E1654" s="579"/>
      <c r="F1654" s="311"/>
      <c r="G1654" s="47"/>
      <c r="H1654" s="312"/>
      <c r="I1654" s="220" t="s">
        <v>75</v>
      </c>
      <c r="J1654" s="59">
        <v>1177080</v>
      </c>
      <c r="K1654" s="60"/>
      <c r="L1654" s="59">
        <f t="shared" si="96"/>
        <v>1177080</v>
      </c>
      <c r="M1654" s="17"/>
      <c r="N1654" s="920"/>
      <c r="O1654" s="189"/>
      <c r="P1654" s="166"/>
    </row>
    <row r="1655" spans="1:16" ht="15" x14ac:dyDescent="0.25">
      <c r="A1655" s="519"/>
      <c r="B1655" s="49"/>
      <c r="D1655" s="519"/>
      <c r="E1655" s="579"/>
      <c r="F1655" s="311"/>
      <c r="G1655" s="55" t="s">
        <v>37</v>
      </c>
      <c r="H1655" s="315"/>
      <c r="I1655" s="220" t="s">
        <v>38</v>
      </c>
      <c r="J1655" s="59">
        <f>SUM(J1657-J1656)</f>
        <v>1487790.25</v>
      </c>
      <c r="K1655" s="60"/>
      <c r="L1655" s="59">
        <f t="shared" si="96"/>
        <v>1487790.25</v>
      </c>
    </row>
    <row r="1656" spans="1:16" x14ac:dyDescent="0.2">
      <c r="A1656" s="645"/>
      <c r="B1656" s="646"/>
      <c r="C1656" s="646"/>
      <c r="D1656" s="625"/>
      <c r="E1656" s="626"/>
      <c r="F1656" s="311"/>
      <c r="G1656" s="55" t="s">
        <v>113</v>
      </c>
      <c r="H1656" s="647"/>
      <c r="I1656" s="220" t="s">
        <v>280</v>
      </c>
      <c r="J1656" s="59">
        <v>3395860.8</v>
      </c>
      <c r="K1656" s="60"/>
      <c r="L1656" s="59">
        <f t="shared" si="96"/>
        <v>3395860.8</v>
      </c>
    </row>
    <row r="1657" spans="1:16" s="190" customFormat="1" ht="15" x14ac:dyDescent="0.25">
      <c r="A1657" s="509"/>
      <c r="B1657" s="509"/>
      <c r="C1657" s="515"/>
      <c r="D1657" s="509"/>
      <c r="E1657" s="585"/>
      <c r="F1657" s="311"/>
      <c r="G1657" s="47"/>
      <c r="H1657" s="312"/>
      <c r="I1657" s="229" t="s">
        <v>710</v>
      </c>
      <c r="J1657" s="60">
        <f>SUM(J1652)</f>
        <v>4883651.05</v>
      </c>
      <c r="K1657" s="60"/>
      <c r="L1657" s="60">
        <f>SUM(J1657:K1657)</f>
        <v>4883651.05</v>
      </c>
      <c r="M1657" s="17"/>
      <c r="N1657" s="929"/>
      <c r="O1657" s="188"/>
      <c r="P1657" s="927"/>
    </row>
    <row r="1658" spans="1:16" x14ac:dyDescent="0.2">
      <c r="A1658" s="645"/>
      <c r="B1658" s="646"/>
      <c r="C1658" s="646"/>
      <c r="D1658" s="625"/>
      <c r="E1658" s="626"/>
      <c r="F1658" s="442"/>
      <c r="G1658" s="47"/>
      <c r="H1658" s="313"/>
      <c r="I1658" s="288"/>
      <c r="J1658" s="80"/>
      <c r="K1658" s="80"/>
      <c r="L1658" s="260"/>
    </row>
    <row r="1659" spans="1:16" x14ac:dyDescent="0.2">
      <c r="A1659" s="689"/>
      <c r="B1659" s="690"/>
      <c r="C1659" s="690"/>
      <c r="D1659" s="616" t="s">
        <v>242</v>
      </c>
      <c r="E1659" s="617"/>
      <c r="F1659" s="701"/>
      <c r="G1659" s="691"/>
      <c r="H1659" s="692"/>
      <c r="I1659" s="693" t="s">
        <v>437</v>
      </c>
      <c r="J1659" s="694">
        <f>SUM(J1667+J1676+J1681+J1690+J1703+J1714+J1725+J1734+J1747+J1755+J1762+J1769+J1780+J1789+J1695)</f>
        <v>222710000</v>
      </c>
      <c r="K1659" s="694"/>
      <c r="L1659" s="694">
        <f>SUM(J1659:K1659)</f>
        <v>222710000</v>
      </c>
    </row>
    <row r="1660" spans="1:16" ht="15" customHeight="1" x14ac:dyDescent="0.2">
      <c r="A1660" s="519"/>
      <c r="B1660" s="49"/>
      <c r="C1660" s="503"/>
      <c r="D1660" s="503"/>
      <c r="E1660" s="584"/>
      <c r="F1660" s="442"/>
      <c r="G1660" s="321"/>
      <c r="H1660" s="470"/>
      <c r="I1660" s="266"/>
      <c r="J1660" s="80"/>
      <c r="K1660" s="80"/>
      <c r="L1660" s="260"/>
    </row>
    <row r="1661" spans="1:16" ht="14.25" customHeight="1" x14ac:dyDescent="0.2">
      <c r="A1661" s="613"/>
      <c r="B1661" s="436"/>
      <c r="C1661" s="503"/>
      <c r="D1661" s="503"/>
      <c r="E1661" s="583"/>
      <c r="F1661" s="439"/>
      <c r="G1661" s="329"/>
      <c r="H1661" s="457"/>
      <c r="I1661" s="396" t="s">
        <v>272</v>
      </c>
      <c r="J1661" s="397"/>
      <c r="K1661" s="397"/>
      <c r="L1661" s="415"/>
    </row>
    <row r="1662" spans="1:16" x14ac:dyDescent="0.2">
      <c r="A1662" s="519"/>
      <c r="B1662" s="436"/>
      <c r="D1662" s="49"/>
      <c r="E1662" s="580" t="s">
        <v>243</v>
      </c>
      <c r="F1662" s="439"/>
      <c r="G1662" s="329"/>
      <c r="H1662" s="439"/>
      <c r="I1662" s="398" t="s">
        <v>631</v>
      </c>
      <c r="J1662" s="399"/>
      <c r="K1662" s="399"/>
      <c r="L1662" s="402"/>
    </row>
    <row r="1663" spans="1:16" x14ac:dyDescent="0.2">
      <c r="A1663" s="519"/>
      <c r="B1663" s="436"/>
      <c r="C1663" s="436"/>
      <c r="D1663" s="436"/>
      <c r="E1663" s="582"/>
      <c r="F1663" s="441"/>
      <c r="G1663" s="230"/>
      <c r="H1663" s="311"/>
      <c r="I1663" s="18"/>
      <c r="J1663" s="31"/>
      <c r="K1663" s="31"/>
      <c r="L1663" s="77"/>
    </row>
    <row r="1664" spans="1:16" ht="15" x14ac:dyDescent="0.25">
      <c r="A1664" s="519"/>
      <c r="B1664" s="49"/>
      <c r="C1664" s="49">
        <v>160</v>
      </c>
      <c r="D1664" s="521"/>
      <c r="E1664" s="582"/>
      <c r="F1664" s="441"/>
      <c r="G1664" s="230"/>
      <c r="H1664" s="315"/>
      <c r="I1664" s="238" t="s">
        <v>288</v>
      </c>
      <c r="J1664" s="76"/>
      <c r="K1664" s="76"/>
      <c r="L1664" s="218"/>
    </row>
    <row r="1665" spans="1:16" x14ac:dyDescent="0.2">
      <c r="A1665" s="519"/>
      <c r="B1665" s="49"/>
      <c r="E1665" s="579"/>
      <c r="F1665" s="441"/>
      <c r="G1665" s="230"/>
      <c r="H1665" s="311"/>
      <c r="I1665" s="26"/>
      <c r="J1665" s="31"/>
      <c r="K1665" s="31"/>
      <c r="L1665" s="77"/>
    </row>
    <row r="1666" spans="1:16" x14ac:dyDescent="0.2">
      <c r="A1666" s="519"/>
      <c r="B1666" s="49"/>
      <c r="E1666" s="579"/>
      <c r="F1666" s="311">
        <v>312</v>
      </c>
      <c r="G1666" s="47"/>
      <c r="H1666" s="312" t="s">
        <v>220</v>
      </c>
      <c r="I1666" s="270" t="s">
        <v>305</v>
      </c>
      <c r="J1666" s="64">
        <v>16200000</v>
      </c>
      <c r="K1666" s="59"/>
      <c r="L1666" s="59">
        <f>SUM(J1666+K1666)</f>
        <v>16200000</v>
      </c>
    </row>
    <row r="1667" spans="1:16" x14ac:dyDescent="0.2">
      <c r="A1667" s="519"/>
      <c r="B1667" s="49"/>
      <c r="E1667" s="579"/>
      <c r="F1667" s="311"/>
      <c r="G1667" s="47"/>
      <c r="H1667" s="313"/>
      <c r="I1667" s="229" t="s">
        <v>606</v>
      </c>
      <c r="J1667" s="60">
        <f>SUM(J1666)</f>
        <v>16200000</v>
      </c>
      <c r="K1667" s="60"/>
      <c r="L1667" s="60">
        <f>SUM(L1666)</f>
        <v>16200000</v>
      </c>
    </row>
    <row r="1668" spans="1:16" ht="15" x14ac:dyDescent="0.2">
      <c r="A1668" s="519"/>
      <c r="B1668" s="49"/>
      <c r="C1668" s="709"/>
      <c r="E1668" s="579"/>
      <c r="F1668" s="311"/>
      <c r="G1668" s="55" t="s">
        <v>37</v>
      </c>
      <c r="H1668" s="340"/>
      <c r="I1668" s="65" t="s">
        <v>38</v>
      </c>
      <c r="J1668" s="60">
        <f>SUM(J1667)</f>
        <v>16200000</v>
      </c>
      <c r="K1668" s="60"/>
      <c r="L1668" s="60">
        <f>SUM(L1667)</f>
        <v>16200000</v>
      </c>
    </row>
    <row r="1669" spans="1:16" x14ac:dyDescent="0.2">
      <c r="A1669" s="519"/>
      <c r="B1669" s="49"/>
      <c r="E1669" s="579"/>
      <c r="F1669" s="311"/>
      <c r="G1669" s="47"/>
      <c r="H1669" s="312"/>
      <c r="I1669" s="18"/>
      <c r="J1669" s="31"/>
      <c r="K1669" s="31"/>
      <c r="L1669" s="31"/>
      <c r="M1669" s="188"/>
    </row>
    <row r="1670" spans="1:16" x14ac:dyDescent="0.2">
      <c r="A1670" s="613"/>
      <c r="B1670" s="436"/>
      <c r="C1670" s="503"/>
      <c r="D1670" s="503"/>
      <c r="E1670" s="583"/>
      <c r="F1670" s="439"/>
      <c r="G1670" s="329"/>
      <c r="H1670" s="457"/>
      <c r="I1670" s="396" t="s">
        <v>275</v>
      </c>
      <c r="J1670" s="397"/>
      <c r="K1670" s="397"/>
      <c r="L1670" s="415"/>
      <c r="M1670" s="188"/>
    </row>
    <row r="1671" spans="1:16" x14ac:dyDescent="0.2">
      <c r="A1671" s="519"/>
      <c r="B1671" s="49"/>
      <c r="E1671" s="580" t="s">
        <v>246</v>
      </c>
      <c r="F1671" s="439"/>
      <c r="G1671" s="329"/>
      <c r="H1671" s="439"/>
      <c r="I1671" s="398" t="s">
        <v>436</v>
      </c>
      <c r="J1671" s="399"/>
      <c r="K1671" s="399"/>
      <c r="L1671" s="402"/>
    </row>
    <row r="1672" spans="1:16" x14ac:dyDescent="0.2">
      <c r="A1672" s="519"/>
      <c r="B1672" s="49"/>
      <c r="C1672" s="436"/>
      <c r="D1672" s="367"/>
      <c r="E1672" s="582"/>
      <c r="F1672" s="441"/>
      <c r="G1672" s="230"/>
      <c r="H1672" s="311"/>
      <c r="I1672" s="18"/>
      <c r="J1672" s="31"/>
      <c r="K1672" s="31"/>
      <c r="L1672" s="77"/>
    </row>
    <row r="1673" spans="1:16" s="190" customFormat="1" ht="15" x14ac:dyDescent="0.25">
      <c r="A1673" s="519"/>
      <c r="B1673" s="49"/>
      <c r="C1673" s="49">
        <v>160</v>
      </c>
      <c r="D1673" s="519"/>
      <c r="E1673" s="579"/>
      <c r="F1673" s="311"/>
      <c r="G1673" s="47"/>
      <c r="H1673" s="315"/>
      <c r="I1673" s="238" t="s">
        <v>288</v>
      </c>
      <c r="J1673" s="326"/>
      <c r="K1673" s="76"/>
      <c r="L1673" s="218"/>
      <c r="M1673" s="17"/>
      <c r="N1673" s="929"/>
      <c r="O1673" s="188"/>
      <c r="P1673" s="927"/>
    </row>
    <row r="1674" spans="1:16" s="190" customFormat="1" x14ac:dyDescent="0.2">
      <c r="A1674" s="519"/>
      <c r="B1674" s="49"/>
      <c r="C1674" s="49"/>
      <c r="D1674" s="50"/>
      <c r="E1674" s="579"/>
      <c r="F1674" s="311"/>
      <c r="G1674" s="47"/>
      <c r="H1674" s="470"/>
      <c r="I1674" s="26"/>
      <c r="J1674" s="30"/>
      <c r="K1674" s="31"/>
      <c r="L1674" s="77"/>
      <c r="M1674" s="17"/>
      <c r="N1674" s="929"/>
      <c r="O1674" s="188"/>
      <c r="P1674" s="927"/>
    </row>
    <row r="1675" spans="1:16" x14ac:dyDescent="0.2">
      <c r="A1675" s="519"/>
      <c r="B1675" s="49"/>
      <c r="D1675" s="519"/>
      <c r="E1675" s="579"/>
      <c r="F1675" s="311">
        <v>313</v>
      </c>
      <c r="G1675" s="47"/>
      <c r="H1675" s="311">
        <v>481</v>
      </c>
      <c r="I1675" s="270" t="s">
        <v>43</v>
      </c>
      <c r="J1675" s="59">
        <v>4850000</v>
      </c>
      <c r="K1675" s="59"/>
      <c r="L1675" s="59">
        <f>SUM(J1675:K1675)</f>
        <v>4850000</v>
      </c>
    </row>
    <row r="1676" spans="1:16" x14ac:dyDescent="0.2">
      <c r="A1676" s="519"/>
      <c r="B1676" s="49"/>
      <c r="D1676" s="519"/>
      <c r="E1676" s="579"/>
      <c r="F1676" s="311"/>
      <c r="G1676" s="47"/>
      <c r="H1676" s="311"/>
      <c r="I1676" s="229" t="s">
        <v>593</v>
      </c>
      <c r="J1676" s="60">
        <f>SUM(J1675)</f>
        <v>4850000</v>
      </c>
      <c r="K1676" s="60"/>
      <c r="L1676" s="60">
        <f>SUM(L1675)</f>
        <v>4850000</v>
      </c>
    </row>
    <row r="1677" spans="1:16" s="198" customFormat="1" x14ac:dyDescent="0.2">
      <c r="A1677" s="519"/>
      <c r="B1677" s="49"/>
      <c r="C1677" s="49"/>
      <c r="D1677" s="519"/>
      <c r="E1677" s="579"/>
      <c r="F1677" s="311"/>
      <c r="G1677" s="55" t="s">
        <v>37</v>
      </c>
      <c r="H1677" s="311"/>
      <c r="I1677" s="65" t="s">
        <v>38</v>
      </c>
      <c r="J1677" s="60">
        <f>SUM(J1676)</f>
        <v>4850000</v>
      </c>
      <c r="K1677" s="60"/>
      <c r="L1677" s="60">
        <f>SUM(L1676)</f>
        <v>4850000</v>
      </c>
      <c r="M1677" s="17"/>
      <c r="N1677" s="502"/>
      <c r="O1677" s="27"/>
      <c r="P1677" s="921"/>
    </row>
    <row r="1678" spans="1:16" ht="15" x14ac:dyDescent="0.25">
      <c r="A1678" s="519"/>
      <c r="B1678" s="49"/>
      <c r="D1678" s="519"/>
      <c r="E1678" s="579"/>
      <c r="F1678" s="311"/>
      <c r="G1678" s="47"/>
      <c r="H1678" s="315"/>
      <c r="I1678" s="18"/>
      <c r="J1678" s="192"/>
      <c r="K1678" s="192"/>
      <c r="L1678" s="327"/>
    </row>
    <row r="1679" spans="1:16" x14ac:dyDescent="0.2">
      <c r="A1679" s="519"/>
      <c r="B1679" s="49"/>
      <c r="D1679" s="519"/>
      <c r="E1679" s="581" t="s">
        <v>242</v>
      </c>
      <c r="F1679" s="391"/>
      <c r="G1679" s="334"/>
      <c r="H1679" s="393"/>
      <c r="I1679" s="491" t="s">
        <v>810</v>
      </c>
      <c r="J1679" s="326"/>
      <c r="K1679" s="326"/>
      <c r="L1679" s="57"/>
    </row>
    <row r="1680" spans="1:16" x14ac:dyDescent="0.2">
      <c r="A1680" s="519"/>
      <c r="B1680" s="49"/>
      <c r="D1680" s="519"/>
      <c r="E1680" s="579"/>
      <c r="F1680" s="311">
        <v>314</v>
      </c>
      <c r="G1680" s="47"/>
      <c r="H1680" s="312" t="s">
        <v>415</v>
      </c>
      <c r="I1680" s="220" t="s">
        <v>653</v>
      </c>
      <c r="J1680" s="64">
        <v>1000000</v>
      </c>
      <c r="K1680" s="60"/>
      <c r="L1680" s="59">
        <f>SUM(J1680+K1680)</f>
        <v>1000000</v>
      </c>
    </row>
    <row r="1681" spans="1:14" x14ac:dyDescent="0.2">
      <c r="A1681" s="519"/>
      <c r="B1681" s="49"/>
      <c r="D1681" s="519"/>
      <c r="E1681" s="579"/>
      <c r="F1681" s="311"/>
      <c r="G1681" s="47"/>
      <c r="H1681" s="313"/>
      <c r="I1681" s="235" t="s">
        <v>710</v>
      </c>
      <c r="J1681" s="60">
        <f>SUM(J1680)</f>
        <v>1000000</v>
      </c>
      <c r="K1681" s="60"/>
      <c r="L1681" s="60">
        <f>SUM(L1680)</f>
        <v>1000000</v>
      </c>
    </row>
    <row r="1682" spans="1:14" x14ac:dyDescent="0.2">
      <c r="A1682" s="519"/>
      <c r="B1682" s="49"/>
      <c r="D1682" s="49"/>
      <c r="E1682" s="579"/>
      <c r="F1682" s="311"/>
      <c r="G1682" s="55" t="s">
        <v>37</v>
      </c>
      <c r="H1682" s="311"/>
      <c r="I1682" s="65" t="s">
        <v>38</v>
      </c>
      <c r="J1682" s="60">
        <f>SUM(J1681)</f>
        <v>1000000</v>
      </c>
      <c r="K1682" s="60"/>
      <c r="L1682" s="60">
        <f>SUM(J1682+K1682)</f>
        <v>1000000</v>
      </c>
    </row>
    <row r="1683" spans="1:14" x14ac:dyDescent="0.2">
      <c r="B1683" s="49"/>
      <c r="C1683" s="696"/>
      <c r="D1683" s="696"/>
      <c r="E1683" s="579"/>
      <c r="F1683" s="311"/>
      <c r="G1683" s="321"/>
      <c r="H1683" s="311"/>
      <c r="I1683" s="266"/>
      <c r="J1683" s="80"/>
      <c r="K1683" s="127"/>
      <c r="L1683" s="260"/>
    </row>
    <row r="1684" spans="1:14" x14ac:dyDescent="0.2">
      <c r="A1684" s="49"/>
      <c r="B1684" s="49"/>
      <c r="C1684" s="696"/>
      <c r="D1684" s="696"/>
      <c r="E1684" s="580"/>
      <c r="F1684" s="439"/>
      <c r="G1684" s="329"/>
      <c r="H1684" s="439"/>
      <c r="I1684" s="396" t="s">
        <v>272</v>
      </c>
      <c r="J1684" s="397"/>
      <c r="K1684" s="397"/>
      <c r="L1684" s="331"/>
    </row>
    <row r="1685" spans="1:14" x14ac:dyDescent="0.2">
      <c r="A1685" s="49"/>
      <c r="B1685" s="49"/>
      <c r="D1685" s="49"/>
      <c r="E1685" s="580" t="s">
        <v>243</v>
      </c>
      <c r="F1685" s="439"/>
      <c r="G1685" s="329"/>
      <c r="H1685" s="439"/>
      <c r="I1685" s="398" t="s">
        <v>631</v>
      </c>
      <c r="J1685" s="399"/>
      <c r="K1685" s="399"/>
      <c r="L1685" s="400"/>
    </row>
    <row r="1686" spans="1:14" x14ac:dyDescent="0.2">
      <c r="A1686" s="49"/>
      <c r="B1686" s="49"/>
      <c r="C1686" s="696"/>
      <c r="D1686" s="696"/>
      <c r="E1686" s="579"/>
      <c r="F1686" s="312"/>
      <c r="G1686" s="47"/>
      <c r="H1686" s="313"/>
      <c r="I1686" s="26"/>
      <c r="J1686" s="31"/>
      <c r="K1686" s="31"/>
      <c r="L1686" s="77"/>
      <c r="N1686" s="27"/>
    </row>
    <row r="1687" spans="1:14" ht="15" x14ac:dyDescent="0.25">
      <c r="A1687" s="49"/>
      <c r="B1687" s="49"/>
      <c r="C1687" s="696" t="s">
        <v>86</v>
      </c>
      <c r="D1687" s="696"/>
      <c r="E1687" s="579"/>
      <c r="F1687" s="311"/>
      <c r="G1687" s="55"/>
      <c r="H1687" s="315"/>
      <c r="I1687" s="276" t="s">
        <v>87</v>
      </c>
      <c r="J1687" s="127"/>
      <c r="K1687" s="127"/>
      <c r="L1687" s="232"/>
      <c r="N1687" s="27"/>
    </row>
    <row r="1688" spans="1:14" x14ac:dyDescent="0.2">
      <c r="A1688" s="519"/>
      <c r="B1688" s="49"/>
      <c r="D1688" s="519"/>
      <c r="E1688" s="579"/>
      <c r="F1688" s="311">
        <v>315</v>
      </c>
      <c r="G1688" s="47"/>
      <c r="H1688" s="312" t="s">
        <v>717</v>
      </c>
      <c r="I1688" s="220" t="s">
        <v>296</v>
      </c>
      <c r="J1688" s="64">
        <v>12545000</v>
      </c>
      <c r="K1688" s="59"/>
      <c r="L1688" s="59">
        <f>SUM(J1688+K1688)</f>
        <v>12545000</v>
      </c>
      <c r="M1688" s="27"/>
      <c r="N1688" s="27"/>
    </row>
    <row r="1689" spans="1:14" ht="22.5" x14ac:dyDescent="0.2">
      <c r="A1689" s="519"/>
      <c r="B1689" s="49"/>
      <c r="D1689" s="519"/>
      <c r="E1689" s="579"/>
      <c r="F1689" s="311">
        <v>316</v>
      </c>
      <c r="G1689" s="47"/>
      <c r="H1689" s="312" t="s">
        <v>415</v>
      </c>
      <c r="I1689" s="273" t="s">
        <v>643</v>
      </c>
      <c r="J1689" s="64">
        <v>31750000</v>
      </c>
      <c r="K1689" s="59"/>
      <c r="L1689" s="59">
        <f>SUM(J1689+K1689)</f>
        <v>31750000</v>
      </c>
      <c r="M1689" s="27"/>
      <c r="N1689" s="502"/>
    </row>
    <row r="1690" spans="1:14" x14ac:dyDescent="0.2">
      <c r="A1690" s="519"/>
      <c r="B1690" s="49"/>
      <c r="D1690" s="519"/>
      <c r="E1690" s="579"/>
      <c r="F1690" s="311"/>
      <c r="G1690" s="320"/>
      <c r="H1690" s="313"/>
      <c r="I1690" s="229" t="s">
        <v>606</v>
      </c>
      <c r="J1690" s="56">
        <f>J1688+J1689</f>
        <v>44295000</v>
      </c>
      <c r="K1690" s="56"/>
      <c r="L1690" s="56">
        <f>SUM(L1688:L1689)</f>
        <v>44295000</v>
      </c>
      <c r="M1690" s="27"/>
      <c r="N1690" s="502"/>
    </row>
    <row r="1691" spans="1:14" x14ac:dyDescent="0.2">
      <c r="A1691" s="519"/>
      <c r="B1691" s="49"/>
      <c r="D1691" s="519"/>
      <c r="E1691" s="579"/>
      <c r="F1691" s="311"/>
      <c r="G1691" s="55" t="s">
        <v>37</v>
      </c>
      <c r="H1691" s="313"/>
      <c r="I1691" s="220" t="s">
        <v>38</v>
      </c>
      <c r="J1691" s="59">
        <f>SUM(J1690)</f>
        <v>44295000</v>
      </c>
      <c r="K1691" s="59"/>
      <c r="L1691" s="59">
        <f>SUM(J1691+K1691)</f>
        <v>44295000</v>
      </c>
      <c r="M1691" s="27"/>
      <c r="N1691" s="502"/>
    </row>
    <row r="1692" spans="1:14" x14ac:dyDescent="0.2">
      <c r="A1692" s="519"/>
      <c r="B1692" s="49"/>
      <c r="D1692" s="519"/>
      <c r="E1692" s="579"/>
      <c r="F1692" s="311"/>
      <c r="G1692" s="47"/>
      <c r="H1692" s="312"/>
      <c r="I1692" s="273"/>
      <c r="J1692" s="64"/>
      <c r="K1692" s="59"/>
      <c r="L1692" s="59"/>
      <c r="M1692" s="27"/>
      <c r="N1692" s="502"/>
    </row>
    <row r="1693" spans="1:14" ht="22.5" x14ac:dyDescent="0.2">
      <c r="A1693" s="519"/>
      <c r="B1693" s="49"/>
      <c r="D1693" s="519"/>
      <c r="E1693" s="581" t="s">
        <v>242</v>
      </c>
      <c r="F1693" s="391"/>
      <c r="G1693" s="334"/>
      <c r="H1693" s="393"/>
      <c r="I1693" s="339" t="s">
        <v>708</v>
      </c>
      <c r="J1693" s="64"/>
      <c r="K1693" s="59"/>
      <c r="L1693" s="59"/>
      <c r="M1693" s="27"/>
      <c r="N1693" s="502"/>
    </row>
    <row r="1694" spans="1:14" ht="22.5" x14ac:dyDescent="0.2">
      <c r="A1694" s="519"/>
      <c r="B1694" s="49"/>
      <c r="D1694" s="519"/>
      <c r="E1694" s="579"/>
      <c r="F1694" s="311" t="s">
        <v>969</v>
      </c>
      <c r="G1694" s="47"/>
      <c r="H1694" s="312" t="s">
        <v>415</v>
      </c>
      <c r="I1694" s="273" t="s">
        <v>962</v>
      </c>
      <c r="J1694" s="64">
        <v>16370000</v>
      </c>
      <c r="K1694" s="59"/>
      <c r="L1694" s="59">
        <f>SUM(J1694:K1694)</f>
        <v>16370000</v>
      </c>
      <c r="M1694" s="27"/>
      <c r="N1694" s="502"/>
    </row>
    <row r="1695" spans="1:14" x14ac:dyDescent="0.2">
      <c r="A1695" s="519"/>
      <c r="B1695" s="49"/>
      <c r="D1695" s="519"/>
      <c r="E1695" s="579"/>
      <c r="F1695" s="311"/>
      <c r="G1695" s="47"/>
      <c r="H1695" s="313"/>
      <c r="I1695" s="235" t="s">
        <v>710</v>
      </c>
      <c r="J1695" s="60">
        <f>SUM(J1694)</f>
        <v>16370000</v>
      </c>
      <c r="K1695" s="60"/>
      <c r="L1695" s="60">
        <f>SUM(L1694)</f>
        <v>16370000</v>
      </c>
      <c r="M1695" s="27"/>
      <c r="N1695" s="502"/>
    </row>
    <row r="1696" spans="1:14" x14ac:dyDescent="0.2">
      <c r="A1696" s="519"/>
      <c r="B1696" s="49"/>
      <c r="D1696" s="519"/>
      <c r="E1696" s="579"/>
      <c r="F1696" s="310"/>
      <c r="G1696" s="55" t="s">
        <v>37</v>
      </c>
      <c r="H1696" s="311"/>
      <c r="I1696" s="65" t="s">
        <v>38</v>
      </c>
      <c r="J1696" s="54">
        <f>SUM(J1695)</f>
        <v>16370000</v>
      </c>
      <c r="K1696" s="60"/>
      <c r="L1696" s="54">
        <f>SUM(J1696+K1696)</f>
        <v>16370000</v>
      </c>
      <c r="M1696" s="27"/>
      <c r="N1696" s="502"/>
    </row>
    <row r="1697" spans="1:16" x14ac:dyDescent="0.2">
      <c r="A1697" s="49"/>
      <c r="B1697" s="49"/>
      <c r="C1697" s="503"/>
      <c r="D1697" s="503"/>
      <c r="E1697" s="584"/>
      <c r="F1697" s="311"/>
      <c r="G1697" s="47"/>
      <c r="H1697" s="311"/>
      <c r="I1697" s="906"/>
      <c r="J1697" s="199"/>
      <c r="K1697" s="54"/>
      <c r="L1697" s="199"/>
      <c r="M1697" s="30"/>
      <c r="N1697" s="502"/>
    </row>
    <row r="1698" spans="1:16" ht="15" x14ac:dyDescent="0.25">
      <c r="A1698" s="49"/>
      <c r="B1698" s="49"/>
      <c r="C1698" s="503"/>
      <c r="D1698" s="503"/>
      <c r="E1698" s="583"/>
      <c r="F1698" s="439"/>
      <c r="G1698" s="329"/>
      <c r="H1698" s="472"/>
      <c r="I1698" s="396" t="s">
        <v>272</v>
      </c>
      <c r="J1698" s="397"/>
      <c r="K1698" s="397"/>
      <c r="L1698" s="331"/>
      <c r="M1698" s="189"/>
    </row>
    <row r="1699" spans="1:16" x14ac:dyDescent="0.2">
      <c r="A1699" s="49"/>
      <c r="B1699" s="49"/>
      <c r="C1699" s="696"/>
      <c r="D1699" s="49"/>
      <c r="E1699" s="580" t="s">
        <v>243</v>
      </c>
      <c r="F1699" s="439"/>
      <c r="G1699" s="329"/>
      <c r="H1699" s="439"/>
      <c r="I1699" s="398" t="s">
        <v>631</v>
      </c>
      <c r="J1699" s="399"/>
      <c r="K1699" s="399"/>
      <c r="L1699" s="402"/>
    </row>
    <row r="1700" spans="1:16" ht="15" x14ac:dyDescent="0.25">
      <c r="A1700" s="49"/>
      <c r="B1700" s="49"/>
      <c r="C1700" s="696"/>
      <c r="D1700" s="49"/>
      <c r="E1700" s="579"/>
      <c r="F1700" s="311"/>
      <c r="G1700" s="47"/>
      <c r="H1700" s="315"/>
      <c r="I1700" s="26"/>
      <c r="J1700" s="31"/>
      <c r="K1700" s="31"/>
      <c r="L1700" s="77"/>
    </row>
    <row r="1701" spans="1:16" x14ac:dyDescent="0.2">
      <c r="A1701" s="519"/>
      <c r="B1701" s="49"/>
      <c r="C1701" s="696" t="s">
        <v>88</v>
      </c>
      <c r="D1701" s="696"/>
      <c r="E1701" s="579"/>
      <c r="F1701" s="311">
        <v>317</v>
      </c>
      <c r="G1701" s="47"/>
      <c r="H1701" s="312"/>
      <c r="I1701" s="276" t="s">
        <v>89</v>
      </c>
      <c r="J1701" s="127"/>
      <c r="K1701" s="127"/>
      <c r="L1701" s="232"/>
      <c r="M1701" s="188"/>
    </row>
    <row r="1702" spans="1:16" x14ac:dyDescent="0.2">
      <c r="A1702" s="519"/>
      <c r="B1702" s="49"/>
      <c r="D1702" s="519"/>
      <c r="E1702" s="579"/>
      <c r="F1702" s="311"/>
      <c r="G1702" s="47"/>
      <c r="H1702" s="311">
        <v>472</v>
      </c>
      <c r="I1702" s="220" t="s">
        <v>90</v>
      </c>
      <c r="J1702" s="64">
        <v>200000</v>
      </c>
      <c r="K1702" s="59"/>
      <c r="L1702" s="59">
        <f>SUM(J1702+K1702)</f>
        <v>200000</v>
      </c>
    </row>
    <row r="1703" spans="1:16" x14ac:dyDescent="0.2">
      <c r="A1703" s="519"/>
      <c r="B1703" s="49"/>
      <c r="D1703" s="519"/>
      <c r="E1703" s="579"/>
      <c r="F1703" s="311"/>
      <c r="G1703" s="47"/>
      <c r="H1703" s="313"/>
      <c r="I1703" s="229" t="s">
        <v>606</v>
      </c>
      <c r="J1703" s="60">
        <f>SUM(J1702)</f>
        <v>200000</v>
      </c>
      <c r="K1703" s="59"/>
      <c r="L1703" s="60">
        <f>SUM(J1703+K1703)</f>
        <v>200000</v>
      </c>
    </row>
    <row r="1704" spans="1:16" x14ac:dyDescent="0.2">
      <c r="A1704" s="519"/>
      <c r="B1704" s="49"/>
      <c r="C1704" s="503"/>
      <c r="D1704" s="503"/>
      <c r="E1704" s="584"/>
      <c r="F1704" s="311"/>
      <c r="G1704" s="55" t="s">
        <v>37</v>
      </c>
      <c r="H1704" s="313"/>
      <c r="I1704" s="220" t="s">
        <v>38</v>
      </c>
      <c r="J1704" s="59">
        <f>SUM(J1703)</f>
        <v>200000</v>
      </c>
      <c r="K1704" s="59"/>
      <c r="L1704" s="59">
        <f>SUM(J1704+K1704)</f>
        <v>200000</v>
      </c>
    </row>
    <row r="1705" spans="1:16" s="190" customFormat="1" x14ac:dyDescent="0.2">
      <c r="A1705" s="519"/>
      <c r="B1705" s="49"/>
      <c r="C1705" s="509"/>
      <c r="D1705" s="509"/>
      <c r="E1705" s="585"/>
      <c r="F1705" s="311"/>
      <c r="G1705" s="47"/>
      <c r="H1705" s="311"/>
      <c r="I1705" s="26"/>
      <c r="J1705" s="30"/>
      <c r="K1705" s="30"/>
      <c r="L1705" s="61"/>
      <c r="M1705" s="17"/>
      <c r="N1705" s="929"/>
      <c r="O1705" s="188"/>
      <c r="P1705" s="927"/>
    </row>
    <row r="1706" spans="1:16" x14ac:dyDescent="0.2">
      <c r="A1706" s="519"/>
      <c r="B1706" s="49"/>
      <c r="C1706" s="503"/>
      <c r="D1706" s="503"/>
      <c r="E1706" s="583"/>
      <c r="F1706" s="439"/>
      <c r="G1706" s="329"/>
      <c r="H1706" s="439"/>
      <c r="I1706" s="396" t="s">
        <v>272</v>
      </c>
      <c r="J1706" s="397"/>
      <c r="K1706" s="397"/>
      <c r="L1706" s="331"/>
    </row>
    <row r="1707" spans="1:16" x14ac:dyDescent="0.2">
      <c r="A1707" s="49"/>
      <c r="B1707" s="49"/>
      <c r="D1707" s="49"/>
      <c r="E1707" s="580" t="s">
        <v>243</v>
      </c>
      <c r="F1707" s="439"/>
      <c r="G1707" s="329"/>
      <c r="H1707" s="439"/>
      <c r="I1707" s="398" t="s">
        <v>631</v>
      </c>
      <c r="J1707" s="399"/>
      <c r="K1707" s="399"/>
      <c r="L1707" s="400"/>
    </row>
    <row r="1708" spans="1:16" ht="15" x14ac:dyDescent="0.25">
      <c r="A1708" s="49"/>
      <c r="B1708" s="49"/>
      <c r="D1708" s="49"/>
      <c r="E1708" s="579"/>
      <c r="F1708" s="311"/>
      <c r="G1708" s="47"/>
      <c r="H1708" s="315"/>
      <c r="I1708" s="26"/>
      <c r="J1708" s="31"/>
      <c r="K1708" s="31"/>
      <c r="L1708" s="61"/>
    </row>
    <row r="1709" spans="1:16" ht="15" x14ac:dyDescent="0.25">
      <c r="A1709" s="49"/>
      <c r="B1709" s="49"/>
      <c r="C1709" s="696" t="s">
        <v>91</v>
      </c>
      <c r="D1709" s="696"/>
      <c r="E1709" s="579"/>
      <c r="F1709" s="311"/>
      <c r="G1709" s="47"/>
      <c r="H1709" s="315"/>
      <c r="I1709" s="279" t="s">
        <v>92</v>
      </c>
      <c r="J1709" s="127"/>
      <c r="K1709" s="127"/>
      <c r="L1709" s="260"/>
    </row>
    <row r="1710" spans="1:16" x14ac:dyDescent="0.2">
      <c r="A1710" s="49"/>
      <c r="B1710" s="49"/>
      <c r="C1710" s="696"/>
      <c r="D1710" s="696"/>
      <c r="E1710" s="579"/>
      <c r="F1710" s="311"/>
      <c r="G1710" s="47"/>
      <c r="H1710" s="313"/>
      <c r="I1710" s="761" t="s">
        <v>93</v>
      </c>
      <c r="J1710" s="643"/>
      <c r="K1710" s="643"/>
      <c r="L1710" s="771"/>
    </row>
    <row r="1711" spans="1:16" ht="15" x14ac:dyDescent="0.25">
      <c r="A1711" s="49"/>
      <c r="B1711" s="49"/>
      <c r="C1711" s="709"/>
      <c r="D1711" s="708"/>
      <c r="E1711" s="710"/>
      <c r="F1711" s="311"/>
      <c r="G1711" s="47"/>
      <c r="H1711" s="315"/>
      <c r="I1711" s="233"/>
      <c r="J1711" s="250"/>
      <c r="K1711" s="250"/>
      <c r="L1711" s="251"/>
    </row>
    <row r="1712" spans="1:16" x14ac:dyDescent="0.2">
      <c r="A1712" s="519"/>
      <c r="B1712" s="49"/>
      <c r="D1712" s="519"/>
      <c r="E1712" s="579"/>
      <c r="F1712" s="311">
        <v>318</v>
      </c>
      <c r="G1712" s="47"/>
      <c r="H1712" s="311">
        <v>472</v>
      </c>
      <c r="I1712" s="272" t="s">
        <v>297</v>
      </c>
      <c r="J1712" s="64">
        <v>1300000</v>
      </c>
      <c r="K1712" s="59"/>
      <c r="L1712" s="59">
        <f>SUM(J1712+K1712)</f>
        <v>1300000</v>
      </c>
    </row>
    <row r="1713" spans="1:12" ht="22.5" x14ac:dyDescent="0.2">
      <c r="A1713" s="519"/>
      <c r="B1713" s="49"/>
      <c r="D1713" s="519"/>
      <c r="E1713" s="579"/>
      <c r="F1713" s="311">
        <v>319</v>
      </c>
      <c r="G1713" s="47"/>
      <c r="H1713" s="311">
        <v>472</v>
      </c>
      <c r="I1713" s="272" t="s">
        <v>298</v>
      </c>
      <c r="J1713" s="64">
        <v>49760000</v>
      </c>
      <c r="K1713" s="59"/>
      <c r="L1713" s="59">
        <f>SUM(J1713+K1713)</f>
        <v>49760000</v>
      </c>
    </row>
    <row r="1714" spans="1:12" x14ac:dyDescent="0.2">
      <c r="A1714" s="519"/>
      <c r="B1714" s="49"/>
      <c r="D1714" s="519"/>
      <c r="E1714" s="579"/>
      <c r="F1714" s="311"/>
      <c r="G1714" s="320"/>
      <c r="H1714" s="313"/>
      <c r="I1714" s="229" t="s">
        <v>606</v>
      </c>
      <c r="J1714" s="60">
        <f>SUM(J1712:J1713)</f>
        <v>51060000</v>
      </c>
      <c r="K1714" s="60"/>
      <c r="L1714" s="60">
        <f>SUM(L1712:L1713)</f>
        <v>51060000</v>
      </c>
    </row>
    <row r="1715" spans="1:12" x14ac:dyDescent="0.2">
      <c r="A1715" s="519"/>
      <c r="B1715" s="49"/>
      <c r="D1715" s="519"/>
      <c r="E1715" s="579"/>
      <c r="F1715" s="311"/>
      <c r="G1715" s="55" t="s">
        <v>37</v>
      </c>
      <c r="H1715" s="312"/>
      <c r="I1715" s="220" t="s">
        <v>38</v>
      </c>
      <c r="J1715" s="59">
        <f>SUM(J1714-J1717-J1716)</f>
        <v>1300000</v>
      </c>
      <c r="K1715" s="59"/>
      <c r="L1715" s="59">
        <f>SUM(J1715:K1715)</f>
        <v>1300000</v>
      </c>
    </row>
    <row r="1716" spans="1:12" x14ac:dyDescent="0.2">
      <c r="A1716" s="519"/>
      <c r="B1716" s="49"/>
      <c r="D1716" s="519"/>
      <c r="E1716" s="579"/>
      <c r="F1716" s="311"/>
      <c r="G1716" s="55" t="s">
        <v>589</v>
      </c>
      <c r="H1716" s="313"/>
      <c r="I1716" s="220" t="s">
        <v>590</v>
      </c>
      <c r="J1716" s="59">
        <v>26760000</v>
      </c>
      <c r="K1716" s="59"/>
      <c r="L1716" s="59">
        <f t="shared" ref="L1716:L1717" si="97">SUM(J1716:K1716)</f>
        <v>26760000</v>
      </c>
    </row>
    <row r="1717" spans="1:12" x14ac:dyDescent="0.2">
      <c r="A1717" s="519"/>
      <c r="B1717" s="49"/>
      <c r="C1717" s="503"/>
      <c r="D1717" s="503"/>
      <c r="E1717" s="584"/>
      <c r="F1717" s="311"/>
      <c r="G1717" s="55" t="s">
        <v>113</v>
      </c>
      <c r="H1717" s="313"/>
      <c r="I1717" s="220" t="s">
        <v>280</v>
      </c>
      <c r="J1717" s="59">
        <v>23000000</v>
      </c>
      <c r="K1717" s="59"/>
      <c r="L1717" s="59">
        <f t="shared" si="97"/>
        <v>23000000</v>
      </c>
    </row>
    <row r="1718" spans="1:12" x14ac:dyDescent="0.2">
      <c r="C1718" s="503"/>
      <c r="D1718" s="503"/>
      <c r="E1718" s="584"/>
      <c r="F1718" s="311"/>
      <c r="G1718" s="55"/>
      <c r="H1718" s="313"/>
      <c r="I1718" s="126"/>
      <c r="J1718" s="127"/>
      <c r="K1718" s="127"/>
      <c r="L1718" s="232"/>
    </row>
    <row r="1719" spans="1:12" x14ac:dyDescent="0.2">
      <c r="C1719" s="503"/>
      <c r="D1719" s="503"/>
      <c r="E1719" s="583"/>
      <c r="F1719" s="439"/>
      <c r="G1719" s="329"/>
      <c r="H1719" s="460"/>
      <c r="I1719" s="396" t="s">
        <v>237</v>
      </c>
      <c r="J1719" s="397"/>
      <c r="K1719" s="397"/>
      <c r="L1719" s="331"/>
    </row>
    <row r="1720" spans="1:12" ht="15" x14ac:dyDescent="0.25">
      <c r="D1720" s="49"/>
      <c r="E1720" s="580" t="s">
        <v>245</v>
      </c>
      <c r="F1720" s="439"/>
      <c r="G1720" s="329"/>
      <c r="H1720" s="472"/>
      <c r="I1720" s="398" t="s">
        <v>635</v>
      </c>
      <c r="J1720" s="399"/>
      <c r="K1720" s="399"/>
      <c r="L1720" s="400"/>
    </row>
    <row r="1721" spans="1:12" x14ac:dyDescent="0.2">
      <c r="A1721" s="519"/>
      <c r="B1721" s="49"/>
      <c r="E1721" s="579"/>
      <c r="F1721" s="311"/>
      <c r="G1721" s="47"/>
      <c r="H1721" s="311"/>
      <c r="I1721" s="28"/>
      <c r="J1721" s="31"/>
      <c r="K1721" s="31"/>
      <c r="L1721" s="77"/>
    </row>
    <row r="1722" spans="1:12" ht="15" x14ac:dyDescent="0.25">
      <c r="A1722" s="519"/>
      <c r="B1722" s="49"/>
      <c r="C1722" s="696" t="s">
        <v>100</v>
      </c>
      <c r="D1722" s="696"/>
      <c r="E1722" s="579"/>
      <c r="F1722" s="311"/>
      <c r="G1722" s="47"/>
      <c r="H1722" s="315"/>
      <c r="I1722" s="287" t="s">
        <v>101</v>
      </c>
      <c r="J1722" s="127"/>
      <c r="K1722" s="127"/>
      <c r="L1722" s="232"/>
    </row>
    <row r="1723" spans="1:12" x14ac:dyDescent="0.2">
      <c r="A1723" s="519"/>
      <c r="B1723" s="49"/>
      <c r="D1723" s="519"/>
      <c r="E1723" s="579"/>
      <c r="F1723" s="311"/>
      <c r="G1723" s="47"/>
      <c r="H1723" s="312"/>
      <c r="I1723" s="233"/>
      <c r="J1723" s="127"/>
      <c r="K1723" s="127"/>
      <c r="L1723" s="232"/>
    </row>
    <row r="1724" spans="1:12" x14ac:dyDescent="0.2">
      <c r="A1724" s="519"/>
      <c r="B1724" s="49"/>
      <c r="D1724" s="519"/>
      <c r="E1724" s="579"/>
      <c r="F1724" s="311">
        <v>320</v>
      </c>
      <c r="G1724" s="47"/>
      <c r="H1724" s="311">
        <v>472</v>
      </c>
      <c r="I1724" s="220" t="s">
        <v>102</v>
      </c>
      <c r="J1724" s="59">
        <v>500000</v>
      </c>
      <c r="K1724" s="59"/>
      <c r="L1724" s="59">
        <f>SUM(J1724:J1724)</f>
        <v>500000</v>
      </c>
    </row>
    <row r="1725" spans="1:12" x14ac:dyDescent="0.2">
      <c r="A1725" s="519"/>
      <c r="B1725" s="49"/>
      <c r="D1725" s="519"/>
      <c r="E1725" s="579"/>
      <c r="F1725" s="311"/>
      <c r="G1725" s="47"/>
      <c r="H1725" s="313"/>
      <c r="I1725" s="229" t="s">
        <v>608</v>
      </c>
      <c r="J1725" s="60">
        <f>SUM(J1724)</f>
        <v>500000</v>
      </c>
      <c r="K1725" s="59"/>
      <c r="L1725" s="60">
        <f>SUM(J1725:J1725)</f>
        <v>500000</v>
      </c>
    </row>
    <row r="1726" spans="1:12" x14ac:dyDescent="0.2">
      <c r="A1726" s="519"/>
      <c r="B1726" s="49"/>
      <c r="C1726" s="503"/>
      <c r="D1726" s="503"/>
      <c r="E1726" s="584"/>
      <c r="F1726" s="311"/>
      <c r="G1726" s="55" t="s">
        <v>37</v>
      </c>
      <c r="H1726" s="313"/>
      <c r="I1726" s="220" t="s">
        <v>38</v>
      </c>
      <c r="J1726" s="59">
        <f>SUM(J1725)</f>
        <v>500000</v>
      </c>
      <c r="K1726" s="59"/>
      <c r="L1726" s="59">
        <f>SUM(J1726:J1726)</f>
        <v>500000</v>
      </c>
    </row>
    <row r="1727" spans="1:12" x14ac:dyDescent="0.2">
      <c r="A1727" s="519"/>
      <c r="B1727" s="49"/>
      <c r="C1727" s="503"/>
      <c r="D1727" s="503"/>
      <c r="E1727" s="584"/>
      <c r="F1727" s="311"/>
      <c r="G1727" s="47"/>
      <c r="H1727" s="311"/>
      <c r="I1727" s="26"/>
      <c r="J1727" s="192"/>
      <c r="K1727" s="250"/>
      <c r="L1727" s="327"/>
    </row>
    <row r="1728" spans="1:12" x14ac:dyDescent="0.2">
      <c r="C1728" s="503"/>
      <c r="D1728" s="503"/>
      <c r="E1728" s="583"/>
      <c r="F1728" s="439"/>
      <c r="G1728" s="329"/>
      <c r="H1728" s="439"/>
      <c r="I1728" s="772" t="s">
        <v>275</v>
      </c>
      <c r="J1728" s="773"/>
      <c r="K1728" s="773"/>
      <c r="L1728" s="774"/>
    </row>
    <row r="1729" spans="1:12" ht="15" x14ac:dyDescent="0.25">
      <c r="A1729" s="519"/>
      <c r="B1729" s="49"/>
      <c r="C1729" s="436"/>
      <c r="D1729" s="436"/>
      <c r="E1729" s="580" t="s">
        <v>246</v>
      </c>
      <c r="F1729" s="439"/>
      <c r="G1729" s="329"/>
      <c r="H1729" s="472"/>
      <c r="I1729" s="772" t="s">
        <v>447</v>
      </c>
      <c r="J1729" s="773"/>
      <c r="K1729" s="773"/>
      <c r="L1729" s="774"/>
    </row>
    <row r="1730" spans="1:12" x14ac:dyDescent="0.2">
      <c r="A1730" s="519"/>
      <c r="B1730" s="49"/>
      <c r="C1730" s="436"/>
      <c r="D1730" s="436"/>
      <c r="E1730" s="582"/>
      <c r="F1730" s="311"/>
      <c r="G1730" s="47"/>
      <c r="H1730" s="313"/>
      <c r="I1730" s="26"/>
      <c r="J1730" s="31"/>
      <c r="K1730" s="31"/>
      <c r="L1730" s="61"/>
    </row>
    <row r="1731" spans="1:12" ht="15" x14ac:dyDescent="0.25">
      <c r="A1731" s="519"/>
      <c r="B1731" s="49"/>
      <c r="C1731" s="521" t="s">
        <v>91</v>
      </c>
      <c r="D1731" s="521"/>
      <c r="E1731" s="582"/>
      <c r="F1731" s="311"/>
      <c r="G1731" s="47"/>
      <c r="H1731" s="315"/>
      <c r="I1731" s="279" t="s">
        <v>92</v>
      </c>
      <c r="J1731" s="127"/>
      <c r="K1731" s="127"/>
      <c r="L1731" s="232"/>
    </row>
    <row r="1732" spans="1:12" x14ac:dyDescent="0.2">
      <c r="A1732" s="519"/>
      <c r="B1732" s="49"/>
      <c r="D1732" s="519"/>
      <c r="E1732" s="579"/>
      <c r="F1732" s="311"/>
      <c r="G1732" s="47"/>
      <c r="H1732" s="312"/>
      <c r="I1732" s="233" t="s">
        <v>93</v>
      </c>
      <c r="J1732" s="31"/>
      <c r="K1732" s="31"/>
      <c r="L1732" s="77"/>
    </row>
    <row r="1733" spans="1:12" x14ac:dyDescent="0.2">
      <c r="A1733" s="519"/>
      <c r="B1733" s="49"/>
      <c r="D1733" s="519"/>
      <c r="E1733" s="579"/>
      <c r="F1733" s="311">
        <v>321</v>
      </c>
      <c r="G1733" s="47"/>
      <c r="H1733" s="311">
        <v>472</v>
      </c>
      <c r="I1733" s="220" t="s">
        <v>321</v>
      </c>
      <c r="J1733" s="59">
        <v>6800000</v>
      </c>
      <c r="K1733" s="59"/>
      <c r="L1733" s="59">
        <f>SUM(J1733+K1733)</f>
        <v>6800000</v>
      </c>
    </row>
    <row r="1734" spans="1:12" x14ac:dyDescent="0.2">
      <c r="A1734" s="519"/>
      <c r="B1734" s="49"/>
      <c r="D1734" s="519"/>
      <c r="E1734" s="579"/>
      <c r="F1734" s="311"/>
      <c r="G1734" s="320"/>
      <c r="H1734" s="313"/>
      <c r="I1734" s="229" t="s">
        <v>593</v>
      </c>
      <c r="J1734" s="60">
        <f>SUM(J1733)</f>
        <v>6800000</v>
      </c>
      <c r="K1734" s="59"/>
      <c r="L1734" s="60">
        <f t="shared" ref="L1734" si="98">SUM(L1733)</f>
        <v>6800000</v>
      </c>
    </row>
    <row r="1735" spans="1:12" x14ac:dyDescent="0.2">
      <c r="A1735" s="519"/>
      <c r="B1735" s="49"/>
      <c r="C1735" s="503"/>
      <c r="D1735" s="503"/>
      <c r="E1735" s="584"/>
      <c r="F1735" s="311"/>
      <c r="G1735" s="55" t="s">
        <v>37</v>
      </c>
      <c r="H1735" s="471"/>
      <c r="I1735" s="220" t="s">
        <v>38</v>
      </c>
      <c r="J1735" s="59">
        <f>SUM(J1734)</f>
        <v>6800000</v>
      </c>
      <c r="K1735" s="59"/>
      <c r="L1735" s="59">
        <f>SUM(J1735+K1735)</f>
        <v>6800000</v>
      </c>
    </row>
    <row r="1736" spans="1:12" x14ac:dyDescent="0.2">
      <c r="A1736" s="645"/>
      <c r="B1736" s="646"/>
      <c r="C1736" s="503"/>
      <c r="D1736" s="503"/>
      <c r="E1736" s="584"/>
      <c r="F1736" s="311"/>
      <c r="G1736" s="47"/>
      <c r="H1736" s="312"/>
      <c r="I1736" s="26"/>
      <c r="J1736" s="30"/>
      <c r="K1736" s="31"/>
      <c r="L1736" s="61"/>
    </row>
    <row r="1737" spans="1:12" ht="15" x14ac:dyDescent="0.25">
      <c r="A1737" s="519"/>
      <c r="B1737" s="49"/>
      <c r="C1737" s="503"/>
      <c r="D1737" s="503"/>
      <c r="E1737" s="583"/>
      <c r="F1737" s="439"/>
      <c r="G1737" s="329"/>
      <c r="H1737" s="472"/>
      <c r="I1737" s="396" t="s">
        <v>310</v>
      </c>
      <c r="J1737" s="397"/>
      <c r="K1737" s="397"/>
      <c r="L1737" s="331"/>
    </row>
    <row r="1738" spans="1:12" ht="15" x14ac:dyDescent="0.25">
      <c r="A1738" s="519"/>
      <c r="B1738" s="49"/>
      <c r="D1738" s="49"/>
      <c r="E1738" s="580" t="s">
        <v>244</v>
      </c>
      <c r="F1738" s="439"/>
      <c r="G1738" s="329"/>
      <c r="H1738" s="472"/>
      <c r="I1738" s="398" t="s">
        <v>634</v>
      </c>
      <c r="J1738" s="399"/>
      <c r="K1738" s="399"/>
      <c r="L1738" s="400"/>
    </row>
    <row r="1739" spans="1:12" ht="15" x14ac:dyDescent="0.25">
      <c r="C1739" s="646"/>
      <c r="D1739" s="646"/>
      <c r="E1739" s="626"/>
      <c r="F1739" s="311"/>
      <c r="G1739" s="321"/>
      <c r="H1739" s="315"/>
      <c r="I1739" s="266"/>
      <c r="J1739" s="31"/>
      <c r="K1739" s="31"/>
      <c r="L1739" s="61"/>
    </row>
    <row r="1740" spans="1:12" ht="15" x14ac:dyDescent="0.25">
      <c r="A1740" s="519"/>
      <c r="B1740" s="49"/>
      <c r="C1740" s="696" t="s">
        <v>94</v>
      </c>
      <c r="D1740" s="696"/>
      <c r="E1740" s="579"/>
      <c r="F1740" s="311"/>
      <c r="G1740" s="47"/>
      <c r="H1740" s="315"/>
      <c r="I1740" s="276" t="s">
        <v>95</v>
      </c>
      <c r="J1740" s="127"/>
      <c r="K1740" s="127"/>
      <c r="L1740" s="260"/>
    </row>
    <row r="1741" spans="1:12" x14ac:dyDescent="0.2">
      <c r="A1741" s="519"/>
      <c r="B1741" s="49"/>
      <c r="D1741" s="519"/>
      <c r="E1741" s="579"/>
      <c r="F1741" s="311">
        <v>322</v>
      </c>
      <c r="G1741" s="47"/>
      <c r="H1741" s="311">
        <v>472</v>
      </c>
      <c r="I1741" s="220" t="s">
        <v>96</v>
      </c>
      <c r="J1741" s="64">
        <v>1500000</v>
      </c>
      <c r="K1741" s="59"/>
      <c r="L1741" s="59">
        <f>SUM(J1741+K1741)</f>
        <v>1500000</v>
      </c>
    </row>
    <row r="1742" spans="1:12" x14ac:dyDescent="0.2">
      <c r="A1742" s="519"/>
      <c r="B1742" s="49"/>
      <c r="D1742" s="519"/>
      <c r="E1742" s="579"/>
      <c r="F1742" s="311">
        <v>323</v>
      </c>
      <c r="G1742" s="47"/>
      <c r="H1742" s="311">
        <v>472</v>
      </c>
      <c r="I1742" s="220" t="s">
        <v>97</v>
      </c>
      <c r="J1742" s="64">
        <v>17000000</v>
      </c>
      <c r="K1742" s="59"/>
      <c r="L1742" s="59">
        <f t="shared" ref="L1742:L1746" si="99">SUM(J1742+K1742)</f>
        <v>17000000</v>
      </c>
    </row>
    <row r="1743" spans="1:12" x14ac:dyDescent="0.2">
      <c r="A1743" s="519"/>
      <c r="B1743" s="49"/>
      <c r="D1743" s="519"/>
      <c r="E1743" s="579"/>
      <c r="F1743" s="311">
        <v>324</v>
      </c>
      <c r="G1743" s="47"/>
      <c r="H1743" s="311">
        <v>472</v>
      </c>
      <c r="I1743" s="220" t="s">
        <v>98</v>
      </c>
      <c r="J1743" s="64">
        <v>14300000</v>
      </c>
      <c r="K1743" s="59"/>
      <c r="L1743" s="59">
        <f t="shared" si="99"/>
        <v>14300000</v>
      </c>
    </row>
    <row r="1744" spans="1:12" x14ac:dyDescent="0.2">
      <c r="A1744" s="519"/>
      <c r="B1744" s="49"/>
      <c r="D1744" s="519"/>
      <c r="E1744" s="579"/>
      <c r="F1744" s="311">
        <v>325</v>
      </c>
      <c r="G1744" s="47"/>
      <c r="H1744" s="311">
        <v>472</v>
      </c>
      <c r="I1744" s="220" t="s">
        <v>647</v>
      </c>
      <c r="J1744" s="64">
        <v>7200000</v>
      </c>
      <c r="K1744" s="59"/>
      <c r="L1744" s="59">
        <f t="shared" si="99"/>
        <v>7200000</v>
      </c>
    </row>
    <row r="1745" spans="1:12" ht="22.5" x14ac:dyDescent="0.2">
      <c r="A1745" s="519"/>
      <c r="B1745" s="49"/>
      <c r="D1745" s="519"/>
      <c r="E1745" s="579"/>
      <c r="F1745" s="311">
        <v>326</v>
      </c>
      <c r="G1745" s="47"/>
      <c r="H1745" s="311">
        <v>472</v>
      </c>
      <c r="I1745" s="273" t="s">
        <v>299</v>
      </c>
      <c r="J1745" s="64">
        <v>13100000</v>
      </c>
      <c r="K1745" s="59"/>
      <c r="L1745" s="59">
        <f t="shared" si="99"/>
        <v>13100000</v>
      </c>
    </row>
    <row r="1746" spans="1:12" ht="22.5" x14ac:dyDescent="0.2">
      <c r="A1746" s="519"/>
      <c r="B1746" s="49"/>
      <c r="D1746" s="519"/>
      <c r="E1746" s="579"/>
      <c r="F1746" s="311">
        <v>327</v>
      </c>
      <c r="G1746" s="47"/>
      <c r="H1746" s="311">
        <v>472</v>
      </c>
      <c r="I1746" s="273" t="s">
        <v>705</v>
      </c>
      <c r="J1746" s="64">
        <v>3200000</v>
      </c>
      <c r="K1746" s="59"/>
      <c r="L1746" s="59">
        <f t="shared" si="99"/>
        <v>3200000</v>
      </c>
    </row>
    <row r="1747" spans="1:12" x14ac:dyDescent="0.2">
      <c r="A1747" s="519"/>
      <c r="B1747" s="49"/>
      <c r="D1747" s="519"/>
      <c r="E1747" s="579"/>
      <c r="F1747" s="311"/>
      <c r="G1747" s="47"/>
      <c r="H1747" s="312"/>
      <c r="I1747" s="229" t="s">
        <v>607</v>
      </c>
      <c r="J1747" s="56">
        <f>SUM(J1741:J1746)</f>
        <v>56300000</v>
      </c>
      <c r="K1747" s="56"/>
      <c r="L1747" s="56">
        <f>SUM(L1741:L1746)</f>
        <v>56300000</v>
      </c>
    </row>
    <row r="1748" spans="1:12" x14ac:dyDescent="0.2">
      <c r="A1748" s="519"/>
      <c r="B1748" s="49"/>
      <c r="C1748" s="503"/>
      <c r="D1748" s="696"/>
      <c r="E1748" s="579"/>
      <c r="F1748" s="311"/>
      <c r="G1748" s="55" t="s">
        <v>37</v>
      </c>
      <c r="H1748" s="312"/>
      <c r="I1748" s="220" t="s">
        <v>38</v>
      </c>
      <c r="J1748" s="59">
        <f>SUM(J1747-J1749)</f>
        <v>54242000</v>
      </c>
      <c r="K1748" s="59"/>
      <c r="L1748" s="59">
        <f>SUM(J1748+K1748)</f>
        <v>54242000</v>
      </c>
    </row>
    <row r="1749" spans="1:12" x14ac:dyDescent="0.2">
      <c r="A1749" s="519"/>
      <c r="B1749" s="49"/>
      <c r="C1749" s="696"/>
      <c r="D1749" s="696"/>
      <c r="E1749" s="579"/>
      <c r="F1749" s="311"/>
      <c r="G1749" s="55" t="s">
        <v>113</v>
      </c>
      <c r="H1749" s="311"/>
      <c r="I1749" s="220" t="s">
        <v>280</v>
      </c>
      <c r="J1749" s="59">
        <v>2058000</v>
      </c>
      <c r="K1749" s="59"/>
      <c r="L1749" s="59">
        <f>SUM(J1749:K1749)</f>
        <v>2058000</v>
      </c>
    </row>
    <row r="1750" spans="1:12" ht="15" x14ac:dyDescent="0.2">
      <c r="A1750" s="519"/>
      <c r="B1750" s="49"/>
      <c r="C1750" s="438"/>
      <c r="D1750" s="519"/>
      <c r="E1750" s="579"/>
      <c r="F1750" s="311"/>
      <c r="G1750" s="47"/>
      <c r="H1750" s="311"/>
      <c r="I1750" s="26"/>
      <c r="J1750" s="30"/>
      <c r="K1750" s="31"/>
      <c r="L1750" s="61"/>
    </row>
    <row r="1751" spans="1:12" x14ac:dyDescent="0.2">
      <c r="A1751" s="519"/>
      <c r="B1751" s="49"/>
      <c r="C1751" s="696" t="s">
        <v>94</v>
      </c>
      <c r="D1751" s="519"/>
      <c r="E1751" s="579"/>
      <c r="F1751" s="311"/>
      <c r="G1751" s="47"/>
      <c r="H1751" s="313"/>
      <c r="I1751" s="238" t="s">
        <v>95</v>
      </c>
      <c r="J1751" s="76"/>
      <c r="K1751" s="76"/>
      <c r="L1751" s="57"/>
    </row>
    <row r="1752" spans="1:12" ht="15" x14ac:dyDescent="0.25">
      <c r="A1752" s="519"/>
      <c r="B1752" s="49"/>
      <c r="C1752" s="438"/>
      <c r="D1752" s="708"/>
      <c r="E1752" s="710"/>
      <c r="F1752" s="311"/>
      <c r="G1752" s="47"/>
      <c r="H1752" s="315"/>
      <c r="I1752" s="26"/>
      <c r="J1752" s="250"/>
      <c r="K1752" s="250"/>
      <c r="L1752" s="327"/>
    </row>
    <row r="1753" spans="1:12" x14ac:dyDescent="0.2">
      <c r="A1753" s="519"/>
      <c r="B1753" s="49"/>
      <c r="D1753" s="519"/>
      <c r="E1753" s="581" t="s">
        <v>242</v>
      </c>
      <c r="F1753" s="391"/>
      <c r="G1753" s="334"/>
      <c r="H1753" s="393"/>
      <c r="I1753" s="492" t="s">
        <v>754</v>
      </c>
      <c r="J1753" s="259"/>
      <c r="K1753" s="80"/>
      <c r="L1753" s="260"/>
    </row>
    <row r="1754" spans="1:12" x14ac:dyDescent="0.2">
      <c r="A1754" s="519"/>
      <c r="B1754" s="49"/>
      <c r="D1754" s="519"/>
      <c r="E1754" s="579"/>
      <c r="F1754" s="311">
        <v>328</v>
      </c>
      <c r="G1754" s="47"/>
      <c r="H1754" s="312" t="s">
        <v>415</v>
      </c>
      <c r="I1754" s="220" t="s">
        <v>99</v>
      </c>
      <c r="J1754" s="64">
        <v>4000000</v>
      </c>
      <c r="K1754" s="59"/>
      <c r="L1754" s="59">
        <f>SUM(J1754+K1754)</f>
        <v>4000000</v>
      </c>
    </row>
    <row r="1755" spans="1:12" x14ac:dyDescent="0.2">
      <c r="A1755" s="519"/>
      <c r="B1755" s="49"/>
      <c r="C1755" s="503"/>
      <c r="D1755" s="696"/>
      <c r="E1755" s="579"/>
      <c r="F1755" s="311"/>
      <c r="G1755" s="320"/>
      <c r="H1755" s="312"/>
      <c r="I1755" s="229" t="s">
        <v>742</v>
      </c>
      <c r="J1755" s="56">
        <f>SUM(J1754)</f>
        <v>4000000</v>
      </c>
      <c r="K1755" s="59"/>
      <c r="L1755" s="60">
        <f>SUM(J1755+K1755)</f>
        <v>4000000</v>
      </c>
    </row>
    <row r="1756" spans="1:12" x14ac:dyDescent="0.2">
      <c r="A1756" s="519"/>
      <c r="B1756" s="49"/>
      <c r="C1756" s="696"/>
      <c r="D1756" s="696"/>
      <c r="E1756" s="579"/>
      <c r="F1756" s="311"/>
      <c r="G1756" s="55" t="s">
        <v>37</v>
      </c>
      <c r="H1756" s="311"/>
      <c r="I1756" s="220" t="s">
        <v>38</v>
      </c>
      <c r="J1756" s="59">
        <f>SUM(J1755)</f>
        <v>4000000</v>
      </c>
      <c r="K1756" s="59"/>
      <c r="L1756" s="59">
        <f>SUM(J1756+K1756)</f>
        <v>4000000</v>
      </c>
    </row>
    <row r="1757" spans="1:12" ht="15" x14ac:dyDescent="0.2">
      <c r="A1757" s="519"/>
      <c r="B1757" s="49"/>
      <c r="C1757" s="438"/>
      <c r="D1757" s="519"/>
      <c r="E1757" s="579"/>
      <c r="F1757" s="311"/>
      <c r="G1757" s="47"/>
      <c r="H1757" s="311"/>
      <c r="I1757" s="26"/>
      <c r="J1757" s="30"/>
      <c r="K1757" s="30"/>
      <c r="L1757" s="61"/>
    </row>
    <row r="1758" spans="1:12" ht="15" x14ac:dyDescent="0.2">
      <c r="A1758" s="519"/>
      <c r="B1758" s="49"/>
      <c r="C1758" s="438"/>
      <c r="D1758" s="519"/>
      <c r="E1758" s="579"/>
      <c r="F1758" s="311"/>
      <c r="G1758" s="47"/>
      <c r="H1758" s="313"/>
      <c r="I1758" s="238" t="s">
        <v>95</v>
      </c>
      <c r="J1758" s="362"/>
      <c r="K1758" s="362"/>
      <c r="L1758" s="365"/>
    </row>
    <row r="1759" spans="1:12" ht="15" x14ac:dyDescent="0.25">
      <c r="A1759" s="519"/>
      <c r="B1759" s="49"/>
      <c r="C1759" s="438"/>
      <c r="D1759" s="708"/>
      <c r="E1759" s="710"/>
      <c r="F1759" s="311"/>
      <c r="G1759" s="47"/>
      <c r="H1759" s="315"/>
      <c r="I1759" s="26"/>
      <c r="J1759" s="250"/>
      <c r="K1759" s="250"/>
      <c r="L1759" s="327"/>
    </row>
    <row r="1760" spans="1:12" x14ac:dyDescent="0.2">
      <c r="A1760" s="519"/>
      <c r="B1760" s="49"/>
      <c r="C1760" s="696" t="s">
        <v>94</v>
      </c>
      <c r="D1760" s="519"/>
      <c r="E1760" s="581" t="s">
        <v>242</v>
      </c>
      <c r="F1760" s="391"/>
      <c r="G1760" s="334"/>
      <c r="H1760" s="393"/>
      <c r="I1760" s="492" t="s">
        <v>809</v>
      </c>
      <c r="J1760" s="259"/>
      <c r="K1760" s="80"/>
      <c r="L1760" s="260"/>
    </row>
    <row r="1761" spans="1:16" ht="22.5" x14ac:dyDescent="0.2">
      <c r="A1761" s="519"/>
      <c r="B1761" s="49"/>
      <c r="D1761" s="519"/>
      <c r="E1761" s="579"/>
      <c r="F1761" s="311">
        <v>329</v>
      </c>
      <c r="G1761" s="47"/>
      <c r="H1761" s="311">
        <v>472</v>
      </c>
      <c r="I1761" s="273" t="s">
        <v>575</v>
      </c>
      <c r="J1761" s="64">
        <v>4500000</v>
      </c>
      <c r="K1761" s="59"/>
      <c r="L1761" s="59">
        <f>SUM(J1761+K1761)</f>
        <v>4500000</v>
      </c>
    </row>
    <row r="1762" spans="1:16" x14ac:dyDescent="0.2">
      <c r="A1762" s="519"/>
      <c r="B1762" s="49"/>
      <c r="C1762" s="503"/>
      <c r="D1762" s="696"/>
      <c r="E1762" s="579"/>
      <c r="F1762" s="311"/>
      <c r="G1762" s="320"/>
      <c r="H1762" s="312"/>
      <c r="I1762" s="229" t="s">
        <v>742</v>
      </c>
      <c r="J1762" s="56">
        <f>SUM(J1761)</f>
        <v>4500000</v>
      </c>
      <c r="K1762" s="59"/>
      <c r="L1762" s="60">
        <f>SUM(J1762+K1762)</f>
        <v>4500000</v>
      </c>
    </row>
    <row r="1763" spans="1:16" x14ac:dyDescent="0.2">
      <c r="A1763" s="519"/>
      <c r="B1763" s="49"/>
      <c r="D1763" s="519"/>
      <c r="E1763" s="579"/>
      <c r="F1763" s="311"/>
      <c r="G1763" s="55" t="s">
        <v>37</v>
      </c>
      <c r="H1763" s="311"/>
      <c r="I1763" s="220" t="s">
        <v>38</v>
      </c>
      <c r="J1763" s="59">
        <f>SUM(J1762)</f>
        <v>4500000</v>
      </c>
      <c r="K1763" s="59"/>
      <c r="L1763" s="59">
        <f>SUM(J1763+K1763)</f>
        <v>4500000</v>
      </c>
    </row>
    <row r="1764" spans="1:16" x14ac:dyDescent="0.2">
      <c r="A1764" s="519"/>
      <c r="B1764" s="49"/>
      <c r="D1764" s="519"/>
      <c r="E1764" s="579"/>
      <c r="F1764" s="312"/>
      <c r="G1764" s="47"/>
      <c r="H1764" s="311"/>
      <c r="I1764" s="26"/>
      <c r="J1764" s="30"/>
      <c r="K1764" s="30"/>
      <c r="L1764" s="61"/>
    </row>
    <row r="1765" spans="1:16" x14ac:dyDescent="0.2">
      <c r="A1765" s="519"/>
      <c r="B1765" s="49"/>
      <c r="C1765" s="696" t="s">
        <v>86</v>
      </c>
      <c r="D1765" s="519"/>
      <c r="E1765" s="579"/>
      <c r="F1765" s="311"/>
      <c r="G1765" s="55"/>
      <c r="H1765" s="313"/>
      <c r="I1765" s="238" t="s">
        <v>87</v>
      </c>
      <c r="J1765" s="326"/>
      <c r="K1765" s="326"/>
      <c r="L1765" s="57"/>
    </row>
    <row r="1766" spans="1:16" ht="15" x14ac:dyDescent="0.25">
      <c r="A1766" s="519"/>
      <c r="B1766" s="49"/>
      <c r="D1766" s="519"/>
      <c r="E1766" s="579"/>
      <c r="F1766" s="311"/>
      <c r="G1766" s="47"/>
      <c r="H1766" s="315"/>
      <c r="I1766" s="26"/>
      <c r="J1766" s="30"/>
      <c r="K1766" s="30"/>
      <c r="L1766" s="61"/>
    </row>
    <row r="1767" spans="1:16" ht="22.5" x14ac:dyDescent="0.2">
      <c r="A1767" s="519"/>
      <c r="B1767" s="49"/>
      <c r="D1767" s="519"/>
      <c r="E1767" s="581" t="s">
        <v>242</v>
      </c>
      <c r="F1767" s="391"/>
      <c r="G1767" s="334"/>
      <c r="H1767" s="393"/>
      <c r="I1767" s="339" t="s">
        <v>753</v>
      </c>
      <c r="J1767" s="80"/>
      <c r="K1767" s="80"/>
      <c r="L1767" s="260"/>
    </row>
    <row r="1768" spans="1:16" x14ac:dyDescent="0.2">
      <c r="A1768" s="519"/>
      <c r="B1768" s="49"/>
      <c r="D1768" s="519"/>
      <c r="E1768" s="579"/>
      <c r="F1768" s="311">
        <v>330</v>
      </c>
      <c r="G1768" s="47"/>
      <c r="H1768" s="312" t="s">
        <v>415</v>
      </c>
      <c r="I1768" s="273" t="s">
        <v>169</v>
      </c>
      <c r="J1768" s="59">
        <v>10360000</v>
      </c>
      <c r="K1768" s="60"/>
      <c r="L1768" s="59">
        <f>SUM(J1768:K1768)</f>
        <v>10360000</v>
      </c>
    </row>
    <row r="1769" spans="1:16" ht="15" x14ac:dyDescent="0.25">
      <c r="A1769" s="519"/>
      <c r="B1769" s="49"/>
      <c r="D1769" s="519"/>
      <c r="E1769" s="579"/>
      <c r="F1769" s="311"/>
      <c r="G1769" s="320"/>
      <c r="H1769" s="315"/>
      <c r="I1769" s="299" t="s">
        <v>742</v>
      </c>
      <c r="J1769" s="60">
        <f>SUM(J1768)</f>
        <v>10360000</v>
      </c>
      <c r="K1769" s="60"/>
      <c r="L1769" s="60">
        <f>SUM(J1768:K1768)</f>
        <v>10360000</v>
      </c>
    </row>
    <row r="1770" spans="1:16" s="190" customFormat="1" x14ac:dyDescent="0.2">
      <c r="A1770" s="519"/>
      <c r="B1770" s="49"/>
      <c r="C1770" s="49"/>
      <c r="D1770" s="519"/>
      <c r="E1770" s="579"/>
      <c r="F1770" s="311"/>
      <c r="G1770" s="55" t="s">
        <v>113</v>
      </c>
      <c r="H1770" s="442"/>
      <c r="I1770" s="220" t="s">
        <v>280</v>
      </c>
      <c r="J1770" s="59">
        <f>SUM(J1769)</f>
        <v>10360000</v>
      </c>
      <c r="K1770" s="59"/>
      <c r="L1770" s="59">
        <f>SUM(J1769:K1769)</f>
        <v>10360000</v>
      </c>
      <c r="M1770" s="17"/>
      <c r="N1770" s="929"/>
      <c r="O1770" s="188"/>
      <c r="P1770" s="927"/>
    </row>
    <row r="1771" spans="1:16" s="190" customFormat="1" ht="15" x14ac:dyDescent="0.25">
      <c r="A1771" s="519"/>
      <c r="B1771" s="49"/>
      <c r="C1771" s="49"/>
      <c r="D1771" s="519"/>
      <c r="E1771" s="579"/>
      <c r="F1771" s="311"/>
      <c r="G1771" s="47"/>
      <c r="H1771" s="314"/>
      <c r="I1771" s="26"/>
      <c r="J1771" s="30"/>
      <c r="K1771" s="30"/>
      <c r="L1771" s="61"/>
      <c r="M1771" s="17"/>
      <c r="N1771" s="929"/>
      <c r="O1771" s="188"/>
      <c r="P1771" s="927"/>
    </row>
    <row r="1772" spans="1:16" ht="22.5" x14ac:dyDescent="0.25">
      <c r="A1772" s="519"/>
      <c r="B1772" s="49"/>
      <c r="D1772" s="519"/>
      <c r="E1772" s="581" t="s">
        <v>242</v>
      </c>
      <c r="F1772" s="391"/>
      <c r="G1772" s="334"/>
      <c r="H1772" s="469"/>
      <c r="I1772" s="339" t="s">
        <v>707</v>
      </c>
      <c r="J1772" s="80"/>
      <c r="K1772" s="80"/>
      <c r="L1772" s="260"/>
    </row>
    <row r="1773" spans="1:16" x14ac:dyDescent="0.2">
      <c r="A1773" s="519"/>
      <c r="B1773" s="49"/>
      <c r="D1773" s="519"/>
      <c r="E1773" s="579"/>
      <c r="F1773" s="311">
        <v>331</v>
      </c>
      <c r="G1773" s="47"/>
      <c r="H1773" s="312" t="s">
        <v>588</v>
      </c>
      <c r="I1773" s="270" t="s">
        <v>7</v>
      </c>
      <c r="J1773" s="59">
        <v>1000</v>
      </c>
      <c r="K1773" s="60"/>
      <c r="L1773" s="59">
        <f>SUM(J1773:K1773)</f>
        <v>1000</v>
      </c>
    </row>
    <row r="1774" spans="1:16" x14ac:dyDescent="0.2">
      <c r="A1774" s="519"/>
      <c r="B1774" s="49"/>
      <c r="D1774" s="519"/>
      <c r="E1774" s="579"/>
      <c r="F1774" s="311">
        <v>332</v>
      </c>
      <c r="G1774" s="47"/>
      <c r="H1774" s="312" t="s">
        <v>80</v>
      </c>
      <c r="I1774" s="220" t="s">
        <v>9</v>
      </c>
      <c r="J1774" s="59">
        <v>4705000</v>
      </c>
      <c r="K1774" s="60"/>
      <c r="L1774" s="59">
        <f t="shared" ref="L1774:L1776" si="100">SUM(J1774:K1774)</f>
        <v>4705000</v>
      </c>
      <c r="M1774" s="188"/>
    </row>
    <row r="1775" spans="1:16" x14ac:dyDescent="0.2">
      <c r="A1775" s="519"/>
      <c r="B1775" s="49"/>
      <c r="D1775" s="519"/>
      <c r="E1775" s="579"/>
      <c r="F1775" s="311">
        <v>333</v>
      </c>
      <c r="G1775" s="47"/>
      <c r="H1775" s="312" t="s">
        <v>46</v>
      </c>
      <c r="I1775" s="220" t="s">
        <v>10</v>
      </c>
      <c r="J1775" s="59">
        <v>1068000</v>
      </c>
      <c r="K1775" s="60"/>
      <c r="L1775" s="59">
        <f t="shared" si="100"/>
        <v>1068000</v>
      </c>
    </row>
    <row r="1776" spans="1:16" x14ac:dyDescent="0.2">
      <c r="A1776" s="519"/>
      <c r="B1776" s="49"/>
      <c r="D1776" s="519"/>
      <c r="E1776" s="579"/>
      <c r="F1776" s="311" t="s">
        <v>968</v>
      </c>
      <c r="G1776" s="47"/>
      <c r="H1776" s="312" t="s">
        <v>570</v>
      </c>
      <c r="I1776" s="220" t="s">
        <v>21</v>
      </c>
      <c r="J1776" s="59">
        <v>500000</v>
      </c>
      <c r="K1776" s="60"/>
      <c r="L1776" s="59">
        <f t="shared" si="100"/>
        <v>500000</v>
      </c>
    </row>
    <row r="1777" spans="1:16" x14ac:dyDescent="0.2">
      <c r="A1777" s="519"/>
      <c r="B1777" s="49"/>
      <c r="D1777" s="519"/>
      <c r="E1777" s="579"/>
      <c r="F1777" s="311"/>
      <c r="G1777" s="55" t="s">
        <v>37</v>
      </c>
      <c r="H1777" s="312"/>
      <c r="I1777" s="220" t="s">
        <v>38</v>
      </c>
      <c r="J1777" s="59">
        <f>SUM(J1780-J1779-J1778)</f>
        <v>3108248.3200000003</v>
      </c>
      <c r="K1777" s="60"/>
      <c r="L1777" s="59">
        <f t="shared" ref="L1777:L1779" si="101">SUM(J1777:K1777)</f>
        <v>3108248.3200000003</v>
      </c>
    </row>
    <row r="1778" spans="1:16" x14ac:dyDescent="0.2">
      <c r="A1778" s="519"/>
      <c r="B1778" s="49"/>
      <c r="D1778" s="519"/>
      <c r="E1778" s="579"/>
      <c r="F1778" s="311"/>
      <c r="G1778" s="55" t="s">
        <v>589</v>
      </c>
      <c r="H1778" s="312"/>
      <c r="I1778" s="220" t="s">
        <v>590</v>
      </c>
      <c r="J1778" s="59">
        <v>3107000</v>
      </c>
      <c r="K1778" s="60"/>
      <c r="L1778" s="59">
        <f t="shared" si="101"/>
        <v>3107000</v>
      </c>
    </row>
    <row r="1779" spans="1:16" s="190" customFormat="1" ht="15" x14ac:dyDescent="0.25">
      <c r="A1779" s="519"/>
      <c r="B1779" s="49"/>
      <c r="C1779" s="49"/>
      <c r="D1779" s="519"/>
      <c r="E1779" s="579"/>
      <c r="F1779" s="311"/>
      <c r="G1779" s="55" t="s">
        <v>113</v>
      </c>
      <c r="H1779" s="314"/>
      <c r="I1779" s="220" t="s">
        <v>280</v>
      </c>
      <c r="J1779" s="59">
        <v>58751.68</v>
      </c>
      <c r="K1779" s="60"/>
      <c r="L1779" s="59">
        <f t="shared" si="101"/>
        <v>58751.68</v>
      </c>
      <c r="M1779" s="17"/>
      <c r="N1779" s="929"/>
      <c r="O1779" s="188"/>
      <c r="P1779" s="927"/>
    </row>
    <row r="1780" spans="1:16" ht="15" x14ac:dyDescent="0.25">
      <c r="A1780" s="519"/>
      <c r="B1780" s="49"/>
      <c r="D1780" s="519"/>
      <c r="E1780" s="579"/>
      <c r="F1780" s="311"/>
      <c r="G1780" s="47"/>
      <c r="H1780" s="315"/>
      <c r="I1780" s="235" t="s">
        <v>752</v>
      </c>
      <c r="J1780" s="60">
        <f>SUM(J1773:J1776)</f>
        <v>6274000</v>
      </c>
      <c r="K1780" s="60"/>
      <c r="L1780" s="60">
        <f>SUM(J1780:K1780)</f>
        <v>6274000</v>
      </c>
    </row>
    <row r="1781" spans="1:16" ht="15" x14ac:dyDescent="0.25">
      <c r="A1781" s="519"/>
      <c r="B1781" s="49"/>
      <c r="D1781" s="519"/>
      <c r="E1781" s="579"/>
      <c r="F1781" s="311"/>
      <c r="G1781" s="47"/>
      <c r="H1781" s="315"/>
      <c r="I1781" s="237"/>
      <c r="J1781" s="80"/>
      <c r="K1781" s="80"/>
      <c r="L1781" s="260"/>
    </row>
    <row r="1782" spans="1:16" ht="22.5" x14ac:dyDescent="0.25">
      <c r="A1782" s="519"/>
      <c r="B1782" s="49"/>
      <c r="D1782" s="519"/>
      <c r="E1782" s="581" t="s">
        <v>242</v>
      </c>
      <c r="F1782" s="391"/>
      <c r="G1782" s="334"/>
      <c r="H1782" s="469"/>
      <c r="I1782" s="339" t="s">
        <v>708</v>
      </c>
      <c r="J1782" s="80"/>
      <c r="K1782" s="80"/>
      <c r="L1782" s="260"/>
    </row>
    <row r="1783" spans="1:16" x14ac:dyDescent="0.2">
      <c r="A1783" s="519"/>
      <c r="B1783" s="49"/>
      <c r="D1783" s="519"/>
      <c r="E1783" s="579"/>
      <c r="F1783" s="311">
        <v>334</v>
      </c>
      <c r="G1783" s="47"/>
      <c r="H1783" s="312" t="s">
        <v>588</v>
      </c>
      <c r="I1783" s="270" t="s">
        <v>7</v>
      </c>
      <c r="J1783" s="59">
        <v>200</v>
      </c>
      <c r="K1783" s="60"/>
      <c r="L1783" s="59">
        <f>SUM(J1783:K1783)</f>
        <v>200</v>
      </c>
    </row>
    <row r="1784" spans="1:16" s="190" customFormat="1" x14ac:dyDescent="0.2">
      <c r="A1784" s="519"/>
      <c r="B1784" s="49"/>
      <c r="C1784" s="49"/>
      <c r="D1784" s="519"/>
      <c r="E1784" s="579"/>
      <c r="F1784" s="311">
        <v>335</v>
      </c>
      <c r="G1784" s="47"/>
      <c r="H1784" s="312" t="s">
        <v>80</v>
      </c>
      <c r="I1784" s="220" t="s">
        <v>9</v>
      </c>
      <c r="J1784" s="59">
        <v>200</v>
      </c>
      <c r="K1784" s="60"/>
      <c r="L1784" s="59">
        <f t="shared" ref="L1784:L1788" si="102">SUM(J1784:K1784)</f>
        <v>200</v>
      </c>
      <c r="M1784" s="17"/>
      <c r="N1784" s="929"/>
      <c r="O1784" s="188"/>
      <c r="P1784" s="927"/>
    </row>
    <row r="1785" spans="1:16" s="191" customFormat="1" x14ac:dyDescent="0.2">
      <c r="A1785" s="519"/>
      <c r="B1785" s="49"/>
      <c r="C1785" s="49"/>
      <c r="D1785" s="519"/>
      <c r="E1785" s="579"/>
      <c r="F1785" s="311">
        <v>336</v>
      </c>
      <c r="G1785" s="47"/>
      <c r="H1785" s="312" t="s">
        <v>46</v>
      </c>
      <c r="I1785" s="220" t="s">
        <v>10</v>
      </c>
      <c r="J1785" s="59">
        <v>200</v>
      </c>
      <c r="K1785" s="60"/>
      <c r="L1785" s="59">
        <f t="shared" si="102"/>
        <v>200</v>
      </c>
      <c r="M1785" s="17"/>
      <c r="N1785" s="920"/>
      <c r="O1785" s="189"/>
      <c r="P1785" s="166"/>
    </row>
    <row r="1786" spans="1:16" x14ac:dyDescent="0.2">
      <c r="A1786" s="519"/>
      <c r="B1786" s="49"/>
      <c r="D1786" s="519"/>
      <c r="E1786" s="579"/>
      <c r="F1786" s="311">
        <v>337</v>
      </c>
      <c r="G1786" s="47"/>
      <c r="H1786" s="312" t="s">
        <v>269</v>
      </c>
      <c r="I1786" s="220" t="s">
        <v>35</v>
      </c>
      <c r="J1786" s="59">
        <v>200</v>
      </c>
      <c r="K1786" s="60"/>
      <c r="L1786" s="59">
        <f t="shared" si="102"/>
        <v>200</v>
      </c>
      <c r="M1786" s="188"/>
    </row>
    <row r="1787" spans="1:16" x14ac:dyDescent="0.2">
      <c r="A1787" s="519"/>
      <c r="B1787" s="49"/>
      <c r="D1787" s="519"/>
      <c r="E1787" s="579"/>
      <c r="F1787" s="311">
        <v>338</v>
      </c>
      <c r="G1787" s="47"/>
      <c r="H1787" s="312" t="s">
        <v>628</v>
      </c>
      <c r="I1787" s="220" t="s">
        <v>629</v>
      </c>
      <c r="J1787" s="59">
        <v>200</v>
      </c>
      <c r="K1787" s="60"/>
      <c r="L1787" s="59">
        <f t="shared" si="102"/>
        <v>200</v>
      </c>
    </row>
    <row r="1788" spans="1:16" x14ac:dyDescent="0.2">
      <c r="A1788" s="645"/>
      <c r="B1788" s="646"/>
      <c r="C1788" s="646"/>
      <c r="D1788" s="625"/>
      <c r="E1788" s="626"/>
      <c r="F1788" s="311"/>
      <c r="G1788" s="55" t="s">
        <v>37</v>
      </c>
      <c r="H1788" s="647"/>
      <c r="I1788" s="220" t="s">
        <v>38</v>
      </c>
      <c r="J1788" s="59">
        <f>SUM(J1783:J1787)</f>
        <v>1000</v>
      </c>
      <c r="K1788" s="60"/>
      <c r="L1788" s="59">
        <f t="shared" si="102"/>
        <v>1000</v>
      </c>
    </row>
    <row r="1789" spans="1:16" x14ac:dyDescent="0.2">
      <c r="E1789" s="579"/>
      <c r="F1789" s="311"/>
      <c r="G1789" s="47"/>
      <c r="H1789" s="312"/>
      <c r="I1789" s="235" t="s">
        <v>752</v>
      </c>
      <c r="J1789" s="60">
        <f>SUM(J1788)</f>
        <v>1000</v>
      </c>
      <c r="K1789" s="60"/>
      <c r="L1789" s="60">
        <f>SUM(J1789:K1789)</f>
        <v>1000</v>
      </c>
    </row>
    <row r="1790" spans="1:16" x14ac:dyDescent="0.2">
      <c r="E1790" s="579"/>
      <c r="F1790" s="442"/>
      <c r="G1790" s="47"/>
      <c r="H1790" s="313"/>
      <c r="I1790" s="237"/>
      <c r="J1790" s="80" t="s">
        <v>217</v>
      </c>
      <c r="K1790" s="80"/>
      <c r="L1790" s="260"/>
    </row>
    <row r="1791" spans="1:16" x14ac:dyDescent="0.2">
      <c r="A1791" s="689"/>
      <c r="B1791" s="690"/>
      <c r="C1791" s="690"/>
      <c r="D1791" s="616" t="s">
        <v>247</v>
      </c>
      <c r="E1791" s="617"/>
      <c r="F1791" s="701"/>
      <c r="G1791" s="691"/>
      <c r="H1791" s="759"/>
      <c r="I1791" s="693" t="s">
        <v>450</v>
      </c>
      <c r="J1791" s="694">
        <f>SUM(J1796+J1808+J1815+J1821+J1802)</f>
        <v>232961000</v>
      </c>
      <c r="K1791" s="770"/>
      <c r="L1791" s="722">
        <f>SUM(J1791:K1791)</f>
        <v>232961000</v>
      </c>
      <c r="M1791" s="188"/>
    </row>
    <row r="1792" spans="1:16" x14ac:dyDescent="0.2">
      <c r="B1792" s="49"/>
      <c r="C1792" s="49">
        <v>721</v>
      </c>
      <c r="D1792" s="49"/>
      <c r="E1792" s="579"/>
      <c r="F1792" s="311"/>
      <c r="G1792" s="47"/>
      <c r="H1792" s="312"/>
      <c r="I1792" s="279" t="s">
        <v>103</v>
      </c>
      <c r="J1792" s="383"/>
      <c r="K1792" s="383"/>
      <c r="L1792" s="680"/>
      <c r="M1792" s="188"/>
    </row>
    <row r="1793" spans="1:16" x14ac:dyDescent="0.2">
      <c r="A1793" s="519"/>
      <c r="B1793" s="49"/>
      <c r="C1793" s="503"/>
      <c r="D1793" s="503"/>
      <c r="E1793" s="583"/>
      <c r="F1793" s="439"/>
      <c r="G1793" s="329"/>
      <c r="H1793" s="439"/>
      <c r="I1793" s="396" t="s">
        <v>272</v>
      </c>
      <c r="J1793" s="719"/>
      <c r="K1793" s="719"/>
      <c r="L1793" s="775"/>
    </row>
    <row r="1794" spans="1:16" s="190" customFormat="1" x14ac:dyDescent="0.2">
      <c r="A1794" s="645"/>
      <c r="B1794" s="646"/>
      <c r="C1794" s="49"/>
      <c r="D1794" s="49"/>
      <c r="E1794" s="580" t="s">
        <v>248</v>
      </c>
      <c r="F1794" s="439"/>
      <c r="G1794" s="329"/>
      <c r="H1794" s="460"/>
      <c r="I1794" s="398" t="s">
        <v>311</v>
      </c>
      <c r="J1794" s="676"/>
      <c r="K1794" s="676"/>
      <c r="L1794" s="715"/>
      <c r="M1794" s="17"/>
      <c r="N1794" s="929"/>
      <c r="O1794" s="188"/>
      <c r="P1794" s="927"/>
    </row>
    <row r="1795" spans="1:16" ht="15" customHeight="1" x14ac:dyDescent="0.2">
      <c r="B1795" s="49"/>
      <c r="D1795" s="519"/>
      <c r="E1795" s="579"/>
      <c r="F1795" s="311">
        <v>339</v>
      </c>
      <c r="G1795" s="47"/>
      <c r="H1795" s="312" t="s">
        <v>718</v>
      </c>
      <c r="I1795" s="272" t="s">
        <v>657</v>
      </c>
      <c r="J1795" s="59">
        <v>139000000</v>
      </c>
      <c r="K1795" s="59"/>
      <c r="L1795" s="59">
        <f>SUM(J1795+K1795)</f>
        <v>139000000</v>
      </c>
      <c r="M1795" s="189"/>
      <c r="N1795" s="942"/>
    </row>
    <row r="1796" spans="1:16" x14ac:dyDescent="0.2">
      <c r="B1796" s="49"/>
      <c r="D1796" s="519"/>
      <c r="E1796" s="579"/>
      <c r="F1796" s="311"/>
      <c r="G1796" s="320"/>
      <c r="H1796" s="312"/>
      <c r="I1796" s="229" t="s">
        <v>609</v>
      </c>
      <c r="J1796" s="60">
        <f>SUM(J1795:J1795)</f>
        <v>139000000</v>
      </c>
      <c r="K1796" s="60"/>
      <c r="L1796" s="60">
        <f>SUM(J1796+K1796)</f>
        <v>139000000</v>
      </c>
      <c r="M1796" s="189"/>
    </row>
    <row r="1797" spans="1:16" s="190" customFormat="1" x14ac:dyDescent="0.2">
      <c r="A1797" s="50"/>
      <c r="B1797" s="49"/>
      <c r="C1797" s="49"/>
      <c r="D1797" s="519"/>
      <c r="E1797" s="579"/>
      <c r="F1797" s="311"/>
      <c r="G1797" s="55" t="s">
        <v>37</v>
      </c>
      <c r="H1797" s="312"/>
      <c r="I1797" s="220" t="s">
        <v>38</v>
      </c>
      <c r="J1797" s="59">
        <f>SUM(J1796)</f>
        <v>139000000</v>
      </c>
      <c r="K1797" s="60"/>
      <c r="L1797" s="59">
        <f>SUM(J1796:K1796)</f>
        <v>139000000</v>
      </c>
      <c r="M1797" s="189"/>
      <c r="N1797" s="929"/>
      <c r="O1797" s="188"/>
      <c r="P1797" s="927"/>
    </row>
    <row r="1798" spans="1:16" s="190" customFormat="1" x14ac:dyDescent="0.2">
      <c r="A1798" s="50"/>
      <c r="B1798" s="49"/>
      <c r="C1798" s="49"/>
      <c r="D1798" s="519"/>
      <c r="E1798" s="579"/>
      <c r="F1798" s="311"/>
      <c r="G1798" s="55"/>
      <c r="H1798" s="312"/>
      <c r="I1798" s="236"/>
      <c r="J1798" s="76"/>
      <c r="K1798" s="326"/>
      <c r="L1798" s="218"/>
      <c r="M1798" s="189"/>
      <c r="N1798" s="929"/>
      <c r="O1798" s="188"/>
      <c r="P1798" s="927"/>
    </row>
    <row r="1799" spans="1:16" s="190" customFormat="1" x14ac:dyDescent="0.2">
      <c r="A1799" s="50"/>
      <c r="B1799" s="49"/>
      <c r="C1799" s="49"/>
      <c r="D1799" s="519"/>
      <c r="E1799" s="583"/>
      <c r="F1799" s="439"/>
      <c r="G1799" s="329"/>
      <c r="H1799" s="439"/>
      <c r="I1799" s="396" t="s">
        <v>274</v>
      </c>
      <c r="J1799" s="719"/>
      <c r="K1799" s="719"/>
      <c r="L1799" s="775"/>
      <c r="M1799" s="189"/>
      <c r="N1799" s="929"/>
      <c r="O1799" s="188"/>
      <c r="P1799" s="927"/>
    </row>
    <row r="1800" spans="1:16" s="190" customFormat="1" ht="22.5" x14ac:dyDescent="0.2">
      <c r="A1800" s="50"/>
      <c r="B1800" s="49"/>
      <c r="C1800" s="49"/>
      <c r="D1800" s="519"/>
      <c r="E1800" s="580" t="s">
        <v>736</v>
      </c>
      <c r="F1800" s="439"/>
      <c r="G1800" s="329"/>
      <c r="H1800" s="460"/>
      <c r="I1800" s="723" t="s">
        <v>901</v>
      </c>
      <c r="J1800" s="676"/>
      <c r="K1800" s="676"/>
      <c r="L1800" s="715"/>
      <c r="M1800" s="189"/>
      <c r="N1800" s="929"/>
      <c r="O1800" s="188"/>
      <c r="P1800" s="927"/>
    </row>
    <row r="1801" spans="1:16" s="190" customFormat="1" x14ac:dyDescent="0.2">
      <c r="A1801" s="50"/>
      <c r="B1801" s="49"/>
      <c r="C1801" s="49"/>
      <c r="D1801" s="519"/>
      <c r="E1801" s="579"/>
      <c r="F1801" s="311">
        <v>340</v>
      </c>
      <c r="G1801" s="55"/>
      <c r="H1801" s="312" t="s">
        <v>80</v>
      </c>
      <c r="I1801" s="220" t="s">
        <v>9</v>
      </c>
      <c r="J1801" s="59">
        <v>300000</v>
      </c>
      <c r="K1801" s="60"/>
      <c r="L1801" s="59">
        <f>SUM(J1801:K1801)</f>
        <v>300000</v>
      </c>
      <c r="M1801" s="189"/>
      <c r="N1801" s="929"/>
      <c r="O1801" s="188"/>
      <c r="P1801" s="927"/>
    </row>
    <row r="1802" spans="1:16" s="190" customFormat="1" x14ac:dyDescent="0.2">
      <c r="A1802" s="50"/>
      <c r="B1802" s="49"/>
      <c r="C1802" s="49"/>
      <c r="D1802" s="519"/>
      <c r="E1802" s="579"/>
      <c r="F1802" s="311"/>
      <c r="G1802" s="320"/>
      <c r="H1802" s="312"/>
      <c r="I1802" s="229" t="s">
        <v>737</v>
      </c>
      <c r="J1802" s="60">
        <f>SUM(J1801:J1801)</f>
        <v>300000</v>
      </c>
      <c r="K1802" s="60"/>
      <c r="L1802" s="60">
        <f>SUM(J1802+K1802)</f>
        <v>300000</v>
      </c>
      <c r="M1802" s="189"/>
      <c r="N1802" s="929"/>
      <c r="O1802" s="188"/>
      <c r="P1802" s="927"/>
    </row>
    <row r="1803" spans="1:16" s="190" customFormat="1" x14ac:dyDescent="0.2">
      <c r="A1803" s="50"/>
      <c r="B1803" s="49"/>
      <c r="C1803" s="49"/>
      <c r="D1803" s="519"/>
      <c r="E1803" s="579"/>
      <c r="F1803" s="311"/>
      <c r="G1803" s="55" t="s">
        <v>37</v>
      </c>
      <c r="H1803" s="312"/>
      <c r="I1803" s="220" t="s">
        <v>38</v>
      </c>
      <c r="J1803" s="59">
        <f>SUM(J1802)</f>
        <v>300000</v>
      </c>
      <c r="K1803" s="60"/>
      <c r="L1803" s="59">
        <f>SUM(J1802:K1802)</f>
        <v>300000</v>
      </c>
      <c r="M1803" s="189"/>
      <c r="N1803" s="929"/>
      <c r="O1803" s="188"/>
      <c r="P1803" s="927"/>
    </row>
    <row r="1804" spans="1:16" s="190" customFormat="1" x14ac:dyDescent="0.2">
      <c r="A1804" s="50"/>
      <c r="B1804" s="49"/>
      <c r="C1804" s="49"/>
      <c r="D1804" s="519"/>
      <c r="E1804" s="579"/>
      <c r="F1804" s="311"/>
      <c r="G1804" s="55"/>
      <c r="H1804" s="312"/>
      <c r="I1804" s="236"/>
      <c r="J1804" s="76"/>
      <c r="K1804" s="326"/>
      <c r="L1804" s="218"/>
      <c r="M1804" s="189"/>
      <c r="N1804" s="929"/>
      <c r="O1804" s="188"/>
      <c r="P1804" s="927"/>
    </row>
    <row r="1805" spans="1:16" s="191" customFormat="1" x14ac:dyDescent="0.2">
      <c r="A1805" s="50"/>
      <c r="B1805" s="49"/>
      <c r="C1805" s="49">
        <v>620</v>
      </c>
      <c r="D1805" s="519"/>
      <c r="E1805" s="581" t="s">
        <v>247</v>
      </c>
      <c r="F1805" s="391"/>
      <c r="G1805" s="335"/>
      <c r="H1805" s="393"/>
      <c r="I1805" s="401" t="s">
        <v>808</v>
      </c>
      <c r="J1805" s="76"/>
      <c r="K1805" s="326"/>
      <c r="L1805" s="218"/>
      <c r="M1805" s="188"/>
      <c r="N1805" s="920"/>
      <c r="O1805" s="189"/>
      <c r="P1805" s="166"/>
    </row>
    <row r="1806" spans="1:16" s="191" customFormat="1" x14ac:dyDescent="0.2">
      <c r="A1806" s="50"/>
      <c r="B1806" s="49"/>
      <c r="C1806" s="49"/>
      <c r="D1806" s="519"/>
      <c r="E1806" s="579"/>
      <c r="F1806" s="311">
        <v>341</v>
      </c>
      <c r="G1806" s="55"/>
      <c r="H1806" s="311">
        <v>512</v>
      </c>
      <c r="I1806" s="220" t="s">
        <v>21</v>
      </c>
      <c r="J1806" s="59">
        <v>30000000</v>
      </c>
      <c r="K1806" s="60"/>
      <c r="L1806" s="59">
        <f>SUM(J1806:K1806)</f>
        <v>30000000</v>
      </c>
      <c r="M1806" s="17"/>
      <c r="N1806" s="920"/>
      <c r="O1806" s="189"/>
      <c r="P1806" s="166"/>
    </row>
    <row r="1807" spans="1:16" x14ac:dyDescent="0.2">
      <c r="B1807" s="49"/>
      <c r="D1807" s="519"/>
      <c r="E1807" s="579"/>
      <c r="F1807" s="311"/>
      <c r="G1807" s="55" t="s">
        <v>37</v>
      </c>
      <c r="H1807" s="311"/>
      <c r="I1807" s="220" t="s">
        <v>38</v>
      </c>
      <c r="J1807" s="377">
        <f>SUM(J1806)</f>
        <v>30000000</v>
      </c>
      <c r="K1807" s="381"/>
      <c r="L1807" s="59">
        <f>SUM(J1806:K1806)</f>
        <v>30000000</v>
      </c>
    </row>
    <row r="1808" spans="1:16" s="190" customFormat="1" x14ac:dyDescent="0.2">
      <c r="A1808" s="50"/>
      <c r="B1808" s="49"/>
      <c r="C1808" s="49"/>
      <c r="D1808" s="519"/>
      <c r="E1808" s="579"/>
      <c r="F1808" s="311"/>
      <c r="G1808" s="47"/>
      <c r="H1808" s="312"/>
      <c r="I1808" s="229" t="s">
        <v>704</v>
      </c>
      <c r="J1808" s="382">
        <f>SUM(J1807)</f>
        <v>30000000</v>
      </c>
      <c r="K1808" s="60"/>
      <c r="L1808" s="60">
        <f>SUM(L1807)</f>
        <v>30000000</v>
      </c>
      <c r="M1808" s="17"/>
      <c r="N1808" s="929"/>
      <c r="O1808" s="188"/>
      <c r="P1808" s="927"/>
    </row>
    <row r="1809" spans="1:12" ht="15" x14ac:dyDescent="0.25">
      <c r="B1809" s="49"/>
      <c r="D1809" s="519"/>
      <c r="E1809" s="579"/>
      <c r="F1809" s="809"/>
      <c r="G1809" s="55"/>
      <c r="H1809" s="315"/>
      <c r="I1809" s="236"/>
      <c r="J1809" s="76"/>
      <c r="K1809" s="326"/>
      <c r="L1809" s="218"/>
    </row>
    <row r="1810" spans="1:12" ht="22.5" x14ac:dyDescent="0.25">
      <c r="B1810" s="49"/>
      <c r="C1810" s="49">
        <v>620</v>
      </c>
      <c r="D1810" s="519"/>
      <c r="E1810" s="581" t="s">
        <v>247</v>
      </c>
      <c r="F1810" s="813"/>
      <c r="G1810" s="414"/>
      <c r="H1810" s="469"/>
      <c r="I1810" s="401" t="s">
        <v>751</v>
      </c>
      <c r="J1810" s="261"/>
      <c r="K1810" s="326"/>
      <c r="L1810" s="57"/>
    </row>
    <row r="1811" spans="1:12" x14ac:dyDescent="0.2">
      <c r="B1811" s="49"/>
      <c r="D1811" s="519"/>
      <c r="E1811" s="579"/>
      <c r="F1811" s="882" t="s">
        <v>967</v>
      </c>
      <c r="G1811" s="883"/>
      <c r="H1811" s="884" t="s">
        <v>46</v>
      </c>
      <c r="I1811" s="898" t="s">
        <v>10</v>
      </c>
      <c r="J1811" s="908">
        <v>200000</v>
      </c>
      <c r="K1811" s="909"/>
      <c r="L1811" s="887">
        <f>SUM(J1811:K1811)</f>
        <v>200000</v>
      </c>
    </row>
    <row r="1812" spans="1:12" x14ac:dyDescent="0.2">
      <c r="B1812" s="49"/>
      <c r="D1812" s="519"/>
      <c r="E1812" s="579"/>
      <c r="F1812" s="311">
        <v>342</v>
      </c>
      <c r="G1812" s="47"/>
      <c r="H1812" s="312" t="s">
        <v>270</v>
      </c>
      <c r="I1812" s="220" t="s">
        <v>20</v>
      </c>
      <c r="J1812" s="64">
        <v>58761000</v>
      </c>
      <c r="K1812" s="59"/>
      <c r="L1812" s="59">
        <f>SUM(J1812:K1812)</f>
        <v>58761000</v>
      </c>
    </row>
    <row r="1813" spans="1:12" x14ac:dyDescent="0.2">
      <c r="A1813" s="519"/>
      <c r="B1813" s="49"/>
      <c r="D1813" s="519"/>
      <c r="E1813" s="579"/>
      <c r="F1813" s="311"/>
      <c r="G1813" s="55" t="s">
        <v>37</v>
      </c>
      <c r="H1813" s="311"/>
      <c r="I1813" s="220" t="s">
        <v>38</v>
      </c>
      <c r="J1813" s="64">
        <f>J1815-J1814</f>
        <v>401000</v>
      </c>
      <c r="K1813" s="60"/>
      <c r="L1813" s="59">
        <f t="shared" ref="L1813:L1815" si="103">SUM(J1813:K1813)</f>
        <v>401000</v>
      </c>
    </row>
    <row r="1814" spans="1:12" x14ac:dyDescent="0.2">
      <c r="A1814" s="519"/>
      <c r="B1814" s="49"/>
      <c r="D1814" s="519"/>
      <c r="E1814" s="579"/>
      <c r="F1814" s="311"/>
      <c r="G1814" s="55" t="s">
        <v>113</v>
      </c>
      <c r="H1814" s="311"/>
      <c r="I1814" s="220" t="s">
        <v>280</v>
      </c>
      <c r="J1814" s="64">
        <v>58560000</v>
      </c>
      <c r="K1814" s="60"/>
      <c r="L1814" s="59">
        <f t="shared" si="103"/>
        <v>58560000</v>
      </c>
    </row>
    <row r="1815" spans="1:12" x14ac:dyDescent="0.2">
      <c r="E1815" s="579"/>
      <c r="F1815" s="311"/>
      <c r="G1815" s="47"/>
      <c r="H1815" s="312"/>
      <c r="I1815" s="229" t="s">
        <v>710</v>
      </c>
      <c r="J1815" s="56">
        <f>SUM(J1811:J1812)</f>
        <v>58961000</v>
      </c>
      <c r="K1815" s="60"/>
      <c r="L1815" s="60">
        <f t="shared" si="103"/>
        <v>58961000</v>
      </c>
    </row>
    <row r="1816" spans="1:12" ht="15" x14ac:dyDescent="0.25">
      <c r="E1816" s="579"/>
      <c r="F1816" s="311"/>
      <c r="G1816" s="47"/>
      <c r="H1816" s="315"/>
      <c r="I1816" s="288"/>
      <c r="J1816" s="259"/>
      <c r="K1816" s="80"/>
      <c r="L1816" s="260"/>
    </row>
    <row r="1817" spans="1:12" ht="33.75" x14ac:dyDescent="0.2">
      <c r="B1817" s="49"/>
      <c r="C1817" s="49">
        <v>620</v>
      </c>
      <c r="D1817" s="519"/>
      <c r="E1817" s="581" t="s">
        <v>247</v>
      </c>
      <c r="F1817" s="813"/>
      <c r="G1817" s="414"/>
      <c r="H1817" s="393"/>
      <c r="I1817" s="401" t="s">
        <v>939</v>
      </c>
      <c r="J1817" s="261"/>
      <c r="K1817" s="326"/>
      <c r="L1817" s="57"/>
    </row>
    <row r="1818" spans="1:12" x14ac:dyDescent="0.2">
      <c r="B1818" s="49"/>
      <c r="D1818" s="519"/>
      <c r="E1818" s="579"/>
      <c r="F1818" s="882" t="s">
        <v>966</v>
      </c>
      <c r="G1818" s="883"/>
      <c r="H1818" s="884" t="s">
        <v>46</v>
      </c>
      <c r="I1818" s="898" t="s">
        <v>10</v>
      </c>
      <c r="J1818" s="908">
        <v>200000</v>
      </c>
      <c r="K1818" s="909"/>
      <c r="L1818" s="887">
        <f>SUM(J1818:K1818)</f>
        <v>200000</v>
      </c>
    </row>
    <row r="1819" spans="1:12" x14ac:dyDescent="0.2">
      <c r="B1819" s="49"/>
      <c r="D1819" s="519"/>
      <c r="E1819" s="579"/>
      <c r="F1819" s="311">
        <v>343</v>
      </c>
      <c r="G1819" s="47"/>
      <c r="H1819" s="312" t="s">
        <v>270</v>
      </c>
      <c r="I1819" s="220" t="s">
        <v>20</v>
      </c>
      <c r="J1819" s="64">
        <v>4500000</v>
      </c>
      <c r="K1819" s="59"/>
      <c r="L1819" s="59">
        <f>SUM(J1819:K1819)</f>
        <v>4500000</v>
      </c>
    </row>
    <row r="1820" spans="1:12" x14ac:dyDescent="0.2">
      <c r="A1820" s="519"/>
      <c r="B1820" s="49"/>
      <c r="D1820" s="519"/>
      <c r="E1820" s="579"/>
      <c r="F1820" s="311"/>
      <c r="G1820" s="55" t="s">
        <v>37</v>
      </c>
      <c r="H1820" s="312"/>
      <c r="I1820" s="220" t="s">
        <v>38</v>
      </c>
      <c r="J1820" s="64">
        <f>SUM(J1818:J1819)</f>
        <v>4700000</v>
      </c>
      <c r="K1820" s="60"/>
      <c r="L1820" s="59">
        <f t="shared" ref="L1820:L1821" si="104">SUM(J1820:K1820)</f>
        <v>4700000</v>
      </c>
    </row>
    <row r="1821" spans="1:12" x14ac:dyDescent="0.2">
      <c r="E1821" s="579"/>
      <c r="F1821" s="311"/>
      <c r="G1821" s="47"/>
      <c r="H1821" s="312"/>
      <c r="I1821" s="229" t="s">
        <v>710</v>
      </c>
      <c r="J1821" s="56">
        <f>SUM(J1818:J1819)</f>
        <v>4700000</v>
      </c>
      <c r="K1821" s="60"/>
      <c r="L1821" s="60">
        <f t="shared" si="104"/>
        <v>4700000</v>
      </c>
    </row>
    <row r="1822" spans="1:12" x14ac:dyDescent="0.2">
      <c r="E1822" s="579"/>
      <c r="F1822" s="311"/>
      <c r="G1822" s="47"/>
      <c r="H1822" s="312"/>
      <c r="I1822" s="288"/>
      <c r="J1822" s="259"/>
      <c r="K1822" s="80"/>
      <c r="L1822" s="260"/>
    </row>
    <row r="1823" spans="1:12" x14ac:dyDescent="0.2">
      <c r="A1823" s="718"/>
      <c r="B1823" s="690"/>
      <c r="C1823" s="690"/>
      <c r="D1823" s="690">
        <v>1201</v>
      </c>
      <c r="E1823" s="617"/>
      <c r="F1823" s="701"/>
      <c r="G1823" s="691"/>
      <c r="H1823" s="701"/>
      <c r="I1823" s="693" t="s">
        <v>576</v>
      </c>
      <c r="J1823" s="662">
        <f>SUM(J1851+J1863+J1897+J1909+J1916+J1927+J1932+J1946+J1954+J1963+J1974+J1937+J1921)</f>
        <v>175559600</v>
      </c>
      <c r="K1823" s="662">
        <f>SUM(K1851+K1863+K1897+K1909+K1916+K1927+K1932+K1946+K1954+K1963+K1974)</f>
        <v>15916050</v>
      </c>
      <c r="L1823" s="662">
        <f>SUM(L1851+L1863+L1897+L1909+L1916+L1927+L1932+L1946+L1954+L1963+L1974+L1921+L1937)</f>
        <v>191475650</v>
      </c>
    </row>
    <row r="1824" spans="1:12" x14ac:dyDescent="0.2">
      <c r="B1824" s="503"/>
      <c r="C1824" s="503"/>
      <c r="D1824" s="503"/>
      <c r="E1824" s="584"/>
      <c r="F1824" s="311"/>
      <c r="G1824" s="47"/>
      <c r="H1824" s="311"/>
      <c r="I1824" s="726"/>
      <c r="J1824" s="250"/>
      <c r="K1824" s="250"/>
      <c r="L1824" s="251"/>
    </row>
    <row r="1825" spans="2:12" x14ac:dyDescent="0.2">
      <c r="C1825" s="49">
        <v>820</v>
      </c>
      <c r="D1825" s="49"/>
      <c r="E1825" s="579"/>
      <c r="F1825" s="311"/>
      <c r="G1825" s="47"/>
      <c r="H1825" s="312"/>
      <c r="I1825" s="287" t="s">
        <v>83</v>
      </c>
      <c r="J1825" s="362"/>
      <c r="K1825" s="362"/>
      <c r="L1825" s="363"/>
    </row>
    <row r="1826" spans="2:12" ht="15" customHeight="1" x14ac:dyDescent="0.2">
      <c r="D1826" s="49"/>
      <c r="E1826" s="579"/>
      <c r="F1826" s="311"/>
      <c r="G1826" s="47"/>
      <c r="H1826" s="312"/>
      <c r="I1826" s="233"/>
      <c r="J1826" s="250"/>
      <c r="K1826" s="250"/>
      <c r="L1826" s="251"/>
    </row>
    <row r="1827" spans="2:12" ht="16.5" customHeight="1" x14ac:dyDescent="0.2">
      <c r="B1827" s="49">
        <v>4</v>
      </c>
      <c r="E1827" s="579"/>
      <c r="F1827" s="311"/>
      <c r="G1827" s="47"/>
      <c r="H1827" s="312"/>
      <c r="I1827" s="287" t="s">
        <v>84</v>
      </c>
      <c r="J1827" s="362"/>
      <c r="K1827" s="362"/>
      <c r="L1827" s="363"/>
    </row>
    <row r="1828" spans="2:12" ht="12.75" customHeight="1" x14ac:dyDescent="0.25">
      <c r="B1828" s="696"/>
      <c r="D1828" s="49"/>
      <c r="E1828" s="584"/>
      <c r="F1828" s="311"/>
      <c r="G1828" s="47"/>
      <c r="H1828" s="315"/>
      <c r="I1828" s="233"/>
      <c r="J1828" s="250"/>
      <c r="K1828" s="250"/>
      <c r="L1828" s="251"/>
    </row>
    <row r="1829" spans="2:12" ht="26.25" customHeight="1" x14ac:dyDescent="0.25">
      <c r="D1829" s="519"/>
      <c r="E1829" s="580"/>
      <c r="F1829" s="439"/>
      <c r="G1829" s="329"/>
      <c r="H1829" s="472"/>
      <c r="I1829" s="396" t="s">
        <v>272</v>
      </c>
      <c r="J1829" s="719"/>
      <c r="K1829" s="719"/>
      <c r="L1829" s="410"/>
    </row>
    <row r="1830" spans="2:12" ht="14.25" customHeight="1" x14ac:dyDescent="0.25">
      <c r="D1830" s="519"/>
      <c r="E1830" s="580" t="s">
        <v>234</v>
      </c>
      <c r="F1830" s="439"/>
      <c r="G1830" s="329"/>
      <c r="H1830" s="472"/>
      <c r="I1830" s="398" t="s">
        <v>235</v>
      </c>
      <c r="J1830" s="676"/>
      <c r="K1830" s="676"/>
      <c r="L1830" s="413"/>
    </row>
    <row r="1831" spans="2:12" ht="15" x14ac:dyDescent="0.25">
      <c r="D1831" s="519"/>
      <c r="E1831" s="579"/>
      <c r="F1831" s="311"/>
      <c r="G1831" s="47"/>
      <c r="H1831" s="315"/>
      <c r="I1831" s="26"/>
      <c r="J1831" s="250"/>
      <c r="K1831" s="250"/>
      <c r="L1831" s="251"/>
    </row>
    <row r="1832" spans="2:12" x14ac:dyDescent="0.2">
      <c r="D1832" s="519"/>
      <c r="E1832" s="579"/>
      <c r="F1832" s="311">
        <v>344</v>
      </c>
      <c r="G1832" s="47"/>
      <c r="H1832" s="311">
        <v>411</v>
      </c>
      <c r="I1832" s="220" t="s">
        <v>2</v>
      </c>
      <c r="J1832" s="776">
        <f>11969000</f>
        <v>11969000</v>
      </c>
      <c r="K1832" s="59"/>
      <c r="L1832" s="59">
        <f t="shared" ref="L1832:L1847" si="105">SUM(J1832+K1832)</f>
        <v>11969000</v>
      </c>
    </row>
    <row r="1833" spans="2:12" x14ac:dyDescent="0.2">
      <c r="D1833" s="519"/>
      <c r="E1833" s="579"/>
      <c r="F1833" s="311">
        <v>345</v>
      </c>
      <c r="G1833" s="47"/>
      <c r="H1833" s="311">
        <v>412</v>
      </c>
      <c r="I1833" s="270" t="s">
        <v>3</v>
      </c>
      <c r="J1833" s="776">
        <v>2053000</v>
      </c>
      <c r="K1833" s="59"/>
      <c r="L1833" s="59">
        <f t="shared" si="105"/>
        <v>2053000</v>
      </c>
    </row>
    <row r="1834" spans="2:12" x14ac:dyDescent="0.2">
      <c r="D1834" s="519"/>
      <c r="E1834" s="579"/>
      <c r="F1834" s="311">
        <v>346</v>
      </c>
      <c r="G1834" s="47"/>
      <c r="H1834" s="311">
        <v>413</v>
      </c>
      <c r="I1834" s="270" t="s">
        <v>33</v>
      </c>
      <c r="J1834" s="59">
        <v>100000</v>
      </c>
      <c r="K1834" s="59"/>
      <c r="L1834" s="59">
        <f t="shared" si="105"/>
        <v>100000</v>
      </c>
    </row>
    <row r="1835" spans="2:12" x14ac:dyDescent="0.2">
      <c r="D1835" s="519"/>
      <c r="E1835" s="579"/>
      <c r="F1835" s="311">
        <v>347</v>
      </c>
      <c r="G1835" s="47"/>
      <c r="H1835" s="311">
        <v>414</v>
      </c>
      <c r="I1835" s="220" t="s">
        <v>34</v>
      </c>
      <c r="J1835" s="59">
        <v>1000000</v>
      </c>
      <c r="K1835" s="59">
        <v>800000</v>
      </c>
      <c r="L1835" s="59">
        <f t="shared" si="105"/>
        <v>1800000</v>
      </c>
    </row>
    <row r="1836" spans="2:12" x14ac:dyDescent="0.2">
      <c r="D1836" s="519"/>
      <c r="E1836" s="579"/>
      <c r="F1836" s="311">
        <v>348</v>
      </c>
      <c r="G1836" s="47"/>
      <c r="H1836" s="311">
        <v>415</v>
      </c>
      <c r="I1836" s="270" t="s">
        <v>5</v>
      </c>
      <c r="J1836" s="59">
        <v>600000</v>
      </c>
      <c r="K1836" s="59"/>
      <c r="L1836" s="59">
        <f t="shared" si="105"/>
        <v>600000</v>
      </c>
    </row>
    <row r="1837" spans="2:12" x14ac:dyDescent="0.2">
      <c r="D1837" s="519"/>
      <c r="E1837" s="579"/>
      <c r="F1837" s="311">
        <v>349</v>
      </c>
      <c r="G1837" s="47"/>
      <c r="H1837" s="311">
        <v>416</v>
      </c>
      <c r="I1837" s="270" t="s">
        <v>6</v>
      </c>
      <c r="J1837" s="59">
        <v>950000</v>
      </c>
      <c r="K1837" s="59"/>
      <c r="L1837" s="59">
        <f t="shared" si="105"/>
        <v>950000</v>
      </c>
    </row>
    <row r="1838" spans="2:12" x14ac:dyDescent="0.2">
      <c r="D1838" s="519"/>
      <c r="E1838" s="579"/>
      <c r="F1838" s="311">
        <v>350</v>
      </c>
      <c r="G1838" s="47"/>
      <c r="H1838" s="311">
        <v>421</v>
      </c>
      <c r="I1838" s="270" t="s">
        <v>7</v>
      </c>
      <c r="J1838" s="59">
        <v>1270000</v>
      </c>
      <c r="K1838" s="59">
        <v>40000</v>
      </c>
      <c r="L1838" s="59">
        <f t="shared" si="105"/>
        <v>1310000</v>
      </c>
    </row>
    <row r="1839" spans="2:12" x14ac:dyDescent="0.2">
      <c r="D1839" s="519"/>
      <c r="E1839" s="579"/>
      <c r="F1839" s="311">
        <v>351</v>
      </c>
      <c r="G1839" s="47"/>
      <c r="H1839" s="311">
        <v>422</v>
      </c>
      <c r="I1839" s="220" t="s">
        <v>8</v>
      </c>
      <c r="J1839" s="59">
        <v>250000</v>
      </c>
      <c r="K1839" s="59">
        <v>50000</v>
      </c>
      <c r="L1839" s="59">
        <f t="shared" si="105"/>
        <v>300000</v>
      </c>
    </row>
    <row r="1840" spans="2:12" x14ac:dyDescent="0.2">
      <c r="D1840" s="519"/>
      <c r="E1840" s="579"/>
      <c r="F1840" s="311">
        <v>352</v>
      </c>
      <c r="G1840" s="47"/>
      <c r="H1840" s="311">
        <v>424</v>
      </c>
      <c r="I1840" s="220" t="s">
        <v>10</v>
      </c>
      <c r="J1840" s="59">
        <v>500000</v>
      </c>
      <c r="K1840" s="59"/>
      <c r="L1840" s="59">
        <f t="shared" si="105"/>
        <v>500000</v>
      </c>
    </row>
    <row r="1841" spans="1:12" x14ac:dyDescent="0.2">
      <c r="D1841" s="519"/>
      <c r="E1841" s="579"/>
      <c r="F1841" s="311">
        <v>353</v>
      </c>
      <c r="G1841" s="47"/>
      <c r="H1841" s="311">
        <v>425</v>
      </c>
      <c r="I1841" s="220" t="s">
        <v>11</v>
      </c>
      <c r="J1841" s="59">
        <v>1150000</v>
      </c>
      <c r="K1841" s="59">
        <v>50000</v>
      </c>
      <c r="L1841" s="59">
        <f t="shared" si="105"/>
        <v>1200000</v>
      </c>
    </row>
    <row r="1842" spans="1:12" x14ac:dyDescent="0.2">
      <c r="D1842" s="519"/>
      <c r="E1842" s="579"/>
      <c r="F1842" s="311">
        <v>354</v>
      </c>
      <c r="G1842" s="47"/>
      <c r="H1842" s="311">
        <v>426</v>
      </c>
      <c r="I1842" s="220" t="s">
        <v>35</v>
      </c>
      <c r="J1842" s="59">
        <v>1000000</v>
      </c>
      <c r="K1842" s="59">
        <v>170000</v>
      </c>
      <c r="L1842" s="59">
        <f t="shared" si="105"/>
        <v>1170000</v>
      </c>
    </row>
    <row r="1843" spans="1:12" x14ac:dyDescent="0.2">
      <c r="D1843" s="519"/>
      <c r="E1843" s="579"/>
      <c r="F1843" s="311">
        <v>355</v>
      </c>
      <c r="G1843" s="47"/>
      <c r="H1843" s="311">
        <v>441</v>
      </c>
      <c r="I1843" s="220" t="s">
        <v>13</v>
      </c>
      <c r="J1843" s="59">
        <v>300000</v>
      </c>
      <c r="K1843" s="59"/>
      <c r="L1843" s="59">
        <f t="shared" si="105"/>
        <v>300000</v>
      </c>
    </row>
    <row r="1844" spans="1:12" x14ac:dyDescent="0.2">
      <c r="D1844" s="519"/>
      <c r="E1844" s="579"/>
      <c r="F1844" s="311">
        <v>356</v>
      </c>
      <c r="G1844" s="47"/>
      <c r="H1844" s="311">
        <v>444</v>
      </c>
      <c r="I1844" s="220" t="s">
        <v>14</v>
      </c>
      <c r="J1844" s="59">
        <v>200000</v>
      </c>
      <c r="K1844" s="59"/>
      <c r="L1844" s="59">
        <f t="shared" si="105"/>
        <v>200000</v>
      </c>
    </row>
    <row r="1845" spans="1:12" ht="15" x14ac:dyDescent="0.2">
      <c r="A1845" s="519"/>
      <c r="B1845" s="49"/>
      <c r="C1845" s="438"/>
      <c r="D1845" s="519"/>
      <c r="E1845" s="579"/>
      <c r="F1845" s="311">
        <v>357</v>
      </c>
      <c r="G1845" s="47"/>
      <c r="H1845" s="311">
        <v>465</v>
      </c>
      <c r="I1845" s="220" t="s">
        <v>216</v>
      </c>
      <c r="J1845" s="59">
        <v>1411200</v>
      </c>
      <c r="K1845" s="59"/>
      <c r="L1845" s="59">
        <f t="shared" si="105"/>
        <v>1411200</v>
      </c>
    </row>
    <row r="1846" spans="1:12" ht="15" x14ac:dyDescent="0.2">
      <c r="A1846" s="519"/>
      <c r="B1846" s="49"/>
      <c r="C1846" s="438"/>
      <c r="D1846" s="519"/>
      <c r="E1846" s="579"/>
      <c r="F1846" s="311">
        <v>358</v>
      </c>
      <c r="G1846" s="47"/>
      <c r="H1846" s="311">
        <v>482</v>
      </c>
      <c r="I1846" s="220" t="s">
        <v>17</v>
      </c>
      <c r="J1846" s="59">
        <v>20000</v>
      </c>
      <c r="K1846" s="59">
        <v>20000</v>
      </c>
      <c r="L1846" s="59">
        <f t="shared" si="105"/>
        <v>40000</v>
      </c>
    </row>
    <row r="1847" spans="1:12" ht="15" x14ac:dyDescent="0.2">
      <c r="A1847" s="519"/>
      <c r="B1847" s="49"/>
      <c r="C1847" s="438"/>
      <c r="D1847" s="519"/>
      <c r="E1847" s="579"/>
      <c r="F1847" s="311">
        <v>359</v>
      </c>
      <c r="G1847" s="47"/>
      <c r="H1847" s="311">
        <v>512</v>
      </c>
      <c r="I1847" s="220" t="s">
        <v>21</v>
      </c>
      <c r="J1847" s="59">
        <v>900000</v>
      </c>
      <c r="K1847" s="59"/>
      <c r="L1847" s="59">
        <f t="shared" si="105"/>
        <v>900000</v>
      </c>
    </row>
    <row r="1848" spans="1:12" ht="15" x14ac:dyDescent="0.2">
      <c r="A1848" s="519"/>
      <c r="B1848" s="49"/>
      <c r="C1848" s="438"/>
      <c r="D1848" s="519"/>
      <c r="E1848" s="579"/>
      <c r="F1848" s="311"/>
      <c r="G1848" s="47"/>
      <c r="H1848" s="311"/>
      <c r="I1848" s="26"/>
      <c r="J1848" s="31"/>
      <c r="K1848" s="31"/>
      <c r="L1848" s="77"/>
    </row>
    <row r="1849" spans="1:12" x14ac:dyDescent="0.2">
      <c r="D1849" s="519"/>
      <c r="E1849" s="579"/>
      <c r="F1849" s="311"/>
      <c r="G1849" s="55" t="s">
        <v>37</v>
      </c>
      <c r="H1849" s="312"/>
      <c r="I1849" s="220" t="s">
        <v>38</v>
      </c>
      <c r="J1849" s="59">
        <f>SUM(J1832:J1847)</f>
        <v>23673200</v>
      </c>
      <c r="K1849" s="59"/>
      <c r="L1849" s="59">
        <f>SUM(J1849+K1849)</f>
        <v>23673200</v>
      </c>
    </row>
    <row r="1850" spans="1:12" x14ac:dyDescent="0.2">
      <c r="D1850" s="519"/>
      <c r="E1850" s="579"/>
      <c r="F1850" s="311"/>
      <c r="G1850" s="55" t="s">
        <v>55</v>
      </c>
      <c r="H1850" s="312"/>
      <c r="I1850" s="220" t="s">
        <v>56</v>
      </c>
      <c r="J1850" s="59"/>
      <c r="K1850" s="59">
        <f>SUM(K1832:K1847)</f>
        <v>1130000</v>
      </c>
      <c r="L1850" s="59">
        <f>SUM(J1850+K1850)</f>
        <v>1130000</v>
      </c>
    </row>
    <row r="1851" spans="1:12" x14ac:dyDescent="0.2">
      <c r="D1851" s="519"/>
      <c r="E1851" s="584"/>
      <c r="F1851" s="441"/>
      <c r="G1851" s="47"/>
      <c r="H1851" s="312"/>
      <c r="I1851" s="229" t="s">
        <v>293</v>
      </c>
      <c r="J1851" s="60">
        <f>SUM(J1832:J1847)</f>
        <v>23673200</v>
      </c>
      <c r="K1851" s="60">
        <f>SUM(K1832:K1847)</f>
        <v>1130000</v>
      </c>
      <c r="L1851" s="60">
        <f>SUM(L1832:L1847)</f>
        <v>24803200</v>
      </c>
    </row>
    <row r="1852" spans="1:12" ht="15" x14ac:dyDescent="0.25">
      <c r="D1852" s="519"/>
      <c r="E1852" s="579"/>
      <c r="F1852" s="311"/>
      <c r="G1852" s="230"/>
      <c r="H1852" s="315"/>
      <c r="I1852" s="681"/>
      <c r="J1852" s="364"/>
      <c r="K1852" s="364"/>
      <c r="L1852" s="363"/>
    </row>
    <row r="1853" spans="1:12" ht="15" x14ac:dyDescent="0.25">
      <c r="D1853" s="519"/>
      <c r="E1853" s="580"/>
      <c r="F1853" s="439"/>
      <c r="G1853" s="329"/>
      <c r="H1853" s="472"/>
      <c r="I1853" s="396" t="s">
        <v>237</v>
      </c>
      <c r="J1853" s="397"/>
      <c r="K1853" s="397"/>
      <c r="L1853" s="415"/>
    </row>
    <row r="1854" spans="1:12" ht="15" x14ac:dyDescent="0.25">
      <c r="D1854" s="519"/>
      <c r="E1854" s="580" t="s">
        <v>238</v>
      </c>
      <c r="F1854" s="439"/>
      <c r="G1854" s="329"/>
      <c r="H1854" s="472"/>
      <c r="I1854" s="398" t="s">
        <v>446</v>
      </c>
      <c r="J1854" s="399"/>
      <c r="K1854" s="399"/>
      <c r="L1854" s="402"/>
    </row>
    <row r="1855" spans="1:12" x14ac:dyDescent="0.2">
      <c r="D1855" s="519"/>
      <c r="E1855" s="579"/>
      <c r="F1855" s="311"/>
      <c r="G1855" s="47"/>
      <c r="H1855" s="311"/>
      <c r="I1855" s="26"/>
      <c r="J1855" s="31"/>
      <c r="K1855" s="31"/>
      <c r="L1855" s="77"/>
    </row>
    <row r="1856" spans="1:12" ht="15" x14ac:dyDescent="0.2">
      <c r="A1856" s="519"/>
      <c r="B1856" s="49"/>
      <c r="C1856" s="438"/>
      <c r="D1856" s="519"/>
      <c r="E1856" s="579"/>
      <c r="F1856" s="311">
        <v>360</v>
      </c>
      <c r="G1856" s="47"/>
      <c r="H1856" s="311">
        <v>423</v>
      </c>
      <c r="I1856" s="220" t="s">
        <v>9</v>
      </c>
      <c r="J1856" s="59">
        <v>1550000</v>
      </c>
      <c r="K1856" s="59">
        <v>380000</v>
      </c>
      <c r="L1856" s="59">
        <f>SUM(J1856+K1856)</f>
        <v>1930000</v>
      </c>
    </row>
    <row r="1857" spans="1:12" ht="15" x14ac:dyDescent="0.2">
      <c r="A1857" s="519"/>
      <c r="B1857" s="49"/>
      <c r="C1857" s="438"/>
      <c r="D1857" s="519"/>
      <c r="E1857" s="579"/>
      <c r="F1857" s="311">
        <v>361</v>
      </c>
      <c r="G1857" s="47"/>
      <c r="H1857" s="311">
        <v>424</v>
      </c>
      <c r="I1857" s="220" t="s">
        <v>10</v>
      </c>
      <c r="J1857" s="59">
        <v>300000</v>
      </c>
      <c r="K1857" s="59">
        <v>40000</v>
      </c>
      <c r="L1857" s="59">
        <f>SUM(J1857+K1857)</f>
        <v>340000</v>
      </c>
    </row>
    <row r="1858" spans="1:12" ht="15" x14ac:dyDescent="0.2">
      <c r="A1858" s="519"/>
      <c r="B1858" s="49"/>
      <c r="C1858" s="438"/>
      <c r="D1858" s="519"/>
      <c r="E1858" s="579"/>
      <c r="F1858" s="311">
        <v>362</v>
      </c>
      <c r="G1858" s="47"/>
      <c r="H1858" s="311">
        <v>515</v>
      </c>
      <c r="I1858" s="220" t="s">
        <v>23</v>
      </c>
      <c r="J1858" s="59">
        <v>1000000</v>
      </c>
      <c r="K1858" s="59">
        <v>400000</v>
      </c>
      <c r="L1858" s="59">
        <f>SUM(J1858+K1858)</f>
        <v>1400000</v>
      </c>
    </row>
    <row r="1859" spans="1:12" ht="15" x14ac:dyDescent="0.2">
      <c r="A1859" s="519"/>
      <c r="B1859" s="49"/>
      <c r="C1859" s="438"/>
      <c r="D1859" s="519"/>
      <c r="E1859" s="579"/>
      <c r="F1859" s="311"/>
      <c r="G1859" s="47"/>
      <c r="H1859" s="312"/>
      <c r="I1859" s="26"/>
      <c r="J1859" s="31"/>
      <c r="K1859" s="31"/>
      <c r="L1859" s="77"/>
    </row>
    <row r="1860" spans="1:12" ht="15" x14ac:dyDescent="0.2">
      <c r="A1860" s="519"/>
      <c r="B1860" s="49"/>
      <c r="C1860" s="438"/>
      <c r="D1860" s="519"/>
      <c r="E1860" s="579"/>
      <c r="F1860" s="311"/>
      <c r="G1860" s="55" t="s">
        <v>37</v>
      </c>
      <c r="H1860" s="312"/>
      <c r="I1860" s="220" t="s">
        <v>38</v>
      </c>
      <c r="J1860" s="59">
        <f>SUM(J1863-J1862)</f>
        <v>2550000</v>
      </c>
      <c r="K1860" s="59"/>
      <c r="L1860" s="59">
        <f>SUM(J1860+K1860)</f>
        <v>2550000</v>
      </c>
    </row>
    <row r="1861" spans="1:12" ht="15" x14ac:dyDescent="0.2">
      <c r="A1861" s="519"/>
      <c r="B1861" s="49"/>
      <c r="C1861" s="438"/>
      <c r="D1861" s="519"/>
      <c r="E1861" s="579"/>
      <c r="F1861" s="311"/>
      <c r="G1861" s="55" t="s">
        <v>55</v>
      </c>
      <c r="H1861" s="312"/>
      <c r="I1861" s="220" t="s">
        <v>56</v>
      </c>
      <c r="J1861" s="59"/>
      <c r="K1861" s="59">
        <f>SUM(K1856:K1858)</f>
        <v>820000</v>
      </c>
      <c r="L1861" s="59">
        <f>SUM(J1861+K1861)</f>
        <v>820000</v>
      </c>
    </row>
    <row r="1862" spans="1:12" x14ac:dyDescent="0.2">
      <c r="D1862" s="519"/>
      <c r="E1862" s="579"/>
      <c r="F1862" s="311"/>
      <c r="G1862" s="55" t="s">
        <v>113</v>
      </c>
      <c r="H1862" s="313"/>
      <c r="I1862" s="220" t="s">
        <v>280</v>
      </c>
      <c r="J1862" s="59">
        <v>300000</v>
      </c>
      <c r="K1862" s="59"/>
      <c r="L1862" s="59">
        <f>SUM(J1862+K1862)</f>
        <v>300000</v>
      </c>
    </row>
    <row r="1863" spans="1:12" x14ac:dyDescent="0.2">
      <c r="E1863" s="579"/>
      <c r="F1863" s="311"/>
      <c r="G1863" s="47"/>
      <c r="H1863" s="311"/>
      <c r="I1863" s="229" t="s">
        <v>294</v>
      </c>
      <c r="J1863" s="60">
        <f>SUM(J1856:J1858)</f>
        <v>2850000</v>
      </c>
      <c r="K1863" s="60">
        <f t="shared" ref="K1863:L1863" si="106">SUM(K1856:K1858)</f>
        <v>820000</v>
      </c>
      <c r="L1863" s="60">
        <f t="shared" si="106"/>
        <v>3670000</v>
      </c>
    </row>
    <row r="1864" spans="1:12" x14ac:dyDescent="0.2">
      <c r="B1864" s="503"/>
      <c r="D1864" s="49"/>
      <c r="E1864" s="579"/>
      <c r="F1864" s="311"/>
      <c r="G1864" s="47"/>
      <c r="H1864" s="311"/>
      <c r="I1864" s="149"/>
      <c r="J1864" s="192"/>
      <c r="K1864" s="192"/>
      <c r="L1864" s="327"/>
    </row>
    <row r="1865" spans="1:12" x14ac:dyDescent="0.2">
      <c r="B1865" s="49"/>
      <c r="D1865" s="49"/>
      <c r="E1865" s="579"/>
      <c r="F1865" s="311"/>
      <c r="G1865" s="47"/>
      <c r="H1865" s="312"/>
      <c r="I1865" s="871" t="s">
        <v>698</v>
      </c>
      <c r="J1865" s="872">
        <f>SUM(J1863+J1851)</f>
        <v>26523200</v>
      </c>
      <c r="K1865" s="872">
        <f t="shared" ref="K1865:L1865" si="107">SUM(K1863+K1851)</f>
        <v>1950000</v>
      </c>
      <c r="L1865" s="872">
        <f t="shared" si="107"/>
        <v>28473200</v>
      </c>
    </row>
    <row r="1866" spans="1:12" x14ac:dyDescent="0.2">
      <c r="B1866" s="49"/>
      <c r="D1866" s="49"/>
      <c r="E1866" s="579"/>
      <c r="F1866" s="311"/>
      <c r="G1866" s="47"/>
      <c r="H1866" s="312"/>
      <c r="I1866" s="28"/>
      <c r="J1866" s="250"/>
      <c r="K1866" s="250"/>
      <c r="L1866" s="251"/>
    </row>
    <row r="1867" spans="1:12" x14ac:dyDescent="0.2">
      <c r="B1867" s="49">
        <v>5</v>
      </c>
      <c r="D1867" s="49"/>
      <c r="E1867" s="584"/>
      <c r="F1867" s="311"/>
      <c r="G1867" s="47"/>
      <c r="H1867" s="647"/>
      <c r="I1867" s="287" t="s">
        <v>85</v>
      </c>
      <c r="J1867" s="362"/>
      <c r="K1867" s="362"/>
      <c r="L1867" s="363"/>
    </row>
    <row r="1868" spans="1:12" ht="15" x14ac:dyDescent="0.25">
      <c r="A1868" s="711"/>
      <c r="B1868" s="646"/>
      <c r="C1868" s="646"/>
      <c r="D1868" s="646"/>
      <c r="E1868" s="626"/>
      <c r="F1868" s="311"/>
      <c r="G1868" s="47"/>
      <c r="H1868" s="315"/>
      <c r="I1868" s="233"/>
      <c r="J1868" s="250"/>
      <c r="K1868" s="250"/>
      <c r="L1868" s="251"/>
    </row>
    <row r="1869" spans="1:12" ht="15" x14ac:dyDescent="0.25">
      <c r="D1869" s="519"/>
      <c r="E1869" s="580"/>
      <c r="F1869" s="439"/>
      <c r="G1869" s="329"/>
      <c r="H1869" s="472"/>
      <c r="I1869" s="396" t="s">
        <v>272</v>
      </c>
      <c r="J1869" s="719"/>
      <c r="K1869" s="719"/>
      <c r="L1869" s="410"/>
    </row>
    <row r="1870" spans="1:12" ht="15" x14ac:dyDescent="0.25">
      <c r="D1870" s="519"/>
      <c r="E1870" s="580" t="s">
        <v>234</v>
      </c>
      <c r="F1870" s="439"/>
      <c r="G1870" s="329"/>
      <c r="H1870" s="472"/>
      <c r="I1870" s="398" t="s">
        <v>235</v>
      </c>
      <c r="J1870" s="676"/>
      <c r="K1870" s="676"/>
      <c r="L1870" s="413"/>
    </row>
    <row r="1871" spans="1:12" ht="15" x14ac:dyDescent="0.25">
      <c r="D1871" s="519"/>
      <c r="E1871" s="579"/>
      <c r="F1871" s="311"/>
      <c r="G1871" s="321"/>
      <c r="H1871" s="315"/>
      <c r="I1871" s="266"/>
      <c r="J1871" s="250"/>
      <c r="K1871" s="250"/>
      <c r="L1871" s="251"/>
    </row>
    <row r="1872" spans="1:12" x14ac:dyDescent="0.2">
      <c r="D1872" s="519"/>
      <c r="E1872" s="579"/>
      <c r="F1872" s="311">
        <v>363</v>
      </c>
      <c r="G1872" s="47"/>
      <c r="H1872" s="311">
        <v>411</v>
      </c>
      <c r="I1872" s="220" t="s">
        <v>2</v>
      </c>
      <c r="J1872" s="221">
        <v>8539500</v>
      </c>
      <c r="K1872" s="221">
        <v>100085</v>
      </c>
      <c r="L1872" s="59">
        <f t="shared" ref="L1872:L1890" si="108">SUM(J1872+K1872)</f>
        <v>8639585</v>
      </c>
    </row>
    <row r="1873" spans="4:12" x14ac:dyDescent="0.2">
      <c r="D1873" s="519"/>
      <c r="E1873" s="579"/>
      <c r="F1873" s="311">
        <v>364</v>
      </c>
      <c r="G1873" s="47"/>
      <c r="H1873" s="311">
        <v>412</v>
      </c>
      <c r="I1873" s="270" t="s">
        <v>3</v>
      </c>
      <c r="J1873" s="221">
        <v>1465000</v>
      </c>
      <c r="K1873" s="221">
        <v>17165</v>
      </c>
      <c r="L1873" s="59">
        <f t="shared" si="108"/>
        <v>1482165</v>
      </c>
    </row>
    <row r="1874" spans="4:12" x14ac:dyDescent="0.2">
      <c r="D1874" s="519"/>
      <c r="E1874" s="579"/>
      <c r="F1874" s="311">
        <v>365</v>
      </c>
      <c r="G1874" s="47"/>
      <c r="H1874" s="311">
        <v>413</v>
      </c>
      <c r="I1874" s="270" t="s">
        <v>33</v>
      </c>
      <c r="J1874" s="64">
        <v>130000</v>
      </c>
      <c r="K1874" s="221">
        <v>20000</v>
      </c>
      <c r="L1874" s="59">
        <f t="shared" si="108"/>
        <v>150000</v>
      </c>
    </row>
    <row r="1875" spans="4:12" x14ac:dyDescent="0.2">
      <c r="D1875" s="519"/>
      <c r="E1875" s="579"/>
      <c r="F1875" s="311">
        <v>366</v>
      </c>
      <c r="G1875" s="47"/>
      <c r="H1875" s="311">
        <v>414</v>
      </c>
      <c r="I1875" s="220" t="s">
        <v>34</v>
      </c>
      <c r="J1875" s="64">
        <v>970000</v>
      </c>
      <c r="K1875" s="221">
        <v>2200000</v>
      </c>
      <c r="L1875" s="59">
        <f t="shared" si="108"/>
        <v>3170000</v>
      </c>
    </row>
    <row r="1876" spans="4:12" x14ac:dyDescent="0.2">
      <c r="D1876" s="519"/>
      <c r="E1876" s="579"/>
      <c r="F1876" s="311">
        <v>367</v>
      </c>
      <c r="G1876" s="47"/>
      <c r="H1876" s="311">
        <v>415</v>
      </c>
      <c r="I1876" s="270" t="s">
        <v>5</v>
      </c>
      <c r="J1876" s="64">
        <v>340000</v>
      </c>
      <c r="K1876" s="221"/>
      <c r="L1876" s="59">
        <f t="shared" si="108"/>
        <v>340000</v>
      </c>
    </row>
    <row r="1877" spans="4:12" x14ac:dyDescent="0.2">
      <c r="D1877" s="519"/>
      <c r="E1877" s="579"/>
      <c r="F1877" s="311">
        <v>368</v>
      </c>
      <c r="G1877" s="47"/>
      <c r="H1877" s="311">
        <v>416</v>
      </c>
      <c r="I1877" s="270" t="s">
        <v>6</v>
      </c>
      <c r="J1877" s="64">
        <v>670000</v>
      </c>
      <c r="K1877" s="221"/>
      <c r="L1877" s="59">
        <f t="shared" si="108"/>
        <v>670000</v>
      </c>
    </row>
    <row r="1878" spans="4:12" x14ac:dyDescent="0.2">
      <c r="D1878" s="519"/>
      <c r="E1878" s="579"/>
      <c r="F1878" s="311">
        <v>369</v>
      </c>
      <c r="G1878" s="47"/>
      <c r="H1878" s="311">
        <v>421</v>
      </c>
      <c r="I1878" s="270" t="s">
        <v>7</v>
      </c>
      <c r="J1878" s="64">
        <v>5300000</v>
      </c>
      <c r="K1878" s="221">
        <v>120000</v>
      </c>
      <c r="L1878" s="59">
        <f t="shared" si="108"/>
        <v>5420000</v>
      </c>
    </row>
    <row r="1879" spans="4:12" x14ac:dyDescent="0.2">
      <c r="D1879" s="519"/>
      <c r="E1879" s="579"/>
      <c r="F1879" s="311">
        <v>370</v>
      </c>
      <c r="G1879" s="47"/>
      <c r="H1879" s="311">
        <v>422</v>
      </c>
      <c r="I1879" s="220" t="s">
        <v>8</v>
      </c>
      <c r="J1879" s="64">
        <v>440000</v>
      </c>
      <c r="K1879" s="221">
        <v>270000</v>
      </c>
      <c r="L1879" s="59">
        <f t="shared" si="108"/>
        <v>710000</v>
      </c>
    </row>
    <row r="1880" spans="4:12" x14ac:dyDescent="0.2">
      <c r="D1880" s="519"/>
      <c r="E1880" s="579"/>
      <c r="F1880" s="311">
        <v>371</v>
      </c>
      <c r="G1880" s="47"/>
      <c r="H1880" s="311">
        <v>423</v>
      </c>
      <c r="I1880" s="220" t="s">
        <v>9</v>
      </c>
      <c r="J1880" s="64">
        <v>2960000</v>
      </c>
      <c r="K1880" s="221">
        <v>700000</v>
      </c>
      <c r="L1880" s="59">
        <f t="shared" si="108"/>
        <v>3660000</v>
      </c>
    </row>
    <row r="1881" spans="4:12" x14ac:dyDescent="0.2">
      <c r="D1881" s="519"/>
      <c r="E1881" s="579"/>
      <c r="F1881" s="311">
        <v>372</v>
      </c>
      <c r="G1881" s="47"/>
      <c r="H1881" s="311">
        <v>424</v>
      </c>
      <c r="I1881" s="220" t="s">
        <v>10</v>
      </c>
      <c r="J1881" s="64">
        <v>3100000</v>
      </c>
      <c r="K1881" s="221">
        <v>3000000</v>
      </c>
      <c r="L1881" s="59">
        <f t="shared" si="108"/>
        <v>6100000</v>
      </c>
    </row>
    <row r="1882" spans="4:12" x14ac:dyDescent="0.2">
      <c r="D1882" s="519"/>
      <c r="E1882" s="579"/>
      <c r="F1882" s="311">
        <v>373</v>
      </c>
      <c r="G1882" s="47"/>
      <c r="H1882" s="311">
        <v>425</v>
      </c>
      <c r="I1882" s="220" t="s">
        <v>11</v>
      </c>
      <c r="J1882" s="64">
        <v>3050000</v>
      </c>
      <c r="K1882" s="221">
        <v>30000</v>
      </c>
      <c r="L1882" s="59">
        <f t="shared" si="108"/>
        <v>3080000</v>
      </c>
    </row>
    <row r="1883" spans="4:12" x14ac:dyDescent="0.2">
      <c r="D1883" s="519"/>
      <c r="E1883" s="579"/>
      <c r="F1883" s="311">
        <v>374</v>
      </c>
      <c r="G1883" s="47"/>
      <c r="H1883" s="311">
        <v>426</v>
      </c>
      <c r="I1883" s="220" t="s">
        <v>35</v>
      </c>
      <c r="J1883" s="64">
        <v>810000</v>
      </c>
      <c r="K1883" s="221">
        <v>730000</v>
      </c>
      <c r="L1883" s="59">
        <f t="shared" si="108"/>
        <v>1540000</v>
      </c>
    </row>
    <row r="1884" spans="4:12" x14ac:dyDescent="0.2">
      <c r="D1884" s="519"/>
      <c r="E1884" s="579"/>
      <c r="F1884" s="311">
        <v>375</v>
      </c>
      <c r="G1884" s="47"/>
      <c r="H1884" s="311">
        <v>431</v>
      </c>
      <c r="I1884" s="220" t="s">
        <v>12</v>
      </c>
      <c r="J1884" s="64"/>
      <c r="K1884" s="221">
        <v>150000</v>
      </c>
      <c r="L1884" s="59">
        <f t="shared" si="108"/>
        <v>150000</v>
      </c>
    </row>
    <row r="1885" spans="4:12" x14ac:dyDescent="0.2">
      <c r="D1885" s="519"/>
      <c r="E1885" s="579"/>
      <c r="F1885" s="311">
        <v>376</v>
      </c>
      <c r="G1885" s="47"/>
      <c r="H1885" s="311">
        <v>465</v>
      </c>
      <c r="I1885" s="220" t="s">
        <v>221</v>
      </c>
      <c r="J1885" s="64">
        <v>1006900</v>
      </c>
      <c r="K1885" s="221">
        <v>11800</v>
      </c>
      <c r="L1885" s="59">
        <f t="shared" si="108"/>
        <v>1018700</v>
      </c>
    </row>
    <row r="1886" spans="4:12" x14ac:dyDescent="0.2">
      <c r="D1886" s="519"/>
      <c r="E1886" s="579"/>
      <c r="F1886" s="311">
        <v>377</v>
      </c>
      <c r="G1886" s="47"/>
      <c r="H1886" s="311">
        <v>482</v>
      </c>
      <c r="I1886" s="220" t="s">
        <v>17</v>
      </c>
      <c r="J1886" s="64">
        <v>100000</v>
      </c>
      <c r="K1886" s="221">
        <v>17000</v>
      </c>
      <c r="L1886" s="59">
        <f t="shared" si="108"/>
        <v>117000</v>
      </c>
    </row>
    <row r="1887" spans="4:12" x14ac:dyDescent="0.2">
      <c r="D1887" s="519"/>
      <c r="E1887" s="579"/>
      <c r="F1887" s="311">
        <v>378</v>
      </c>
      <c r="G1887" s="47"/>
      <c r="H1887" s="311">
        <v>483</v>
      </c>
      <c r="I1887" s="220" t="s">
        <v>104</v>
      </c>
      <c r="J1887" s="64">
        <v>3000000</v>
      </c>
      <c r="K1887" s="221"/>
      <c r="L1887" s="59">
        <f t="shared" si="108"/>
        <v>3000000</v>
      </c>
    </row>
    <row r="1888" spans="4:12" ht="15" customHeight="1" x14ac:dyDescent="0.2">
      <c r="D1888" s="519"/>
      <c r="E1888" s="579"/>
      <c r="F1888" s="311">
        <v>379</v>
      </c>
      <c r="G1888" s="47"/>
      <c r="H1888" s="311">
        <v>512</v>
      </c>
      <c r="I1888" s="220" t="s">
        <v>21</v>
      </c>
      <c r="J1888" s="64">
        <v>1100000</v>
      </c>
      <c r="K1888" s="221">
        <v>300000</v>
      </c>
      <c r="L1888" s="59">
        <f t="shared" si="108"/>
        <v>1400000</v>
      </c>
    </row>
    <row r="1889" spans="1:12" ht="15" x14ac:dyDescent="0.2">
      <c r="A1889" s="519"/>
      <c r="B1889" s="49"/>
      <c r="C1889" s="438"/>
      <c r="D1889" s="519"/>
      <c r="E1889" s="579"/>
      <c r="F1889" s="311">
        <v>380</v>
      </c>
      <c r="G1889" s="47"/>
      <c r="H1889" s="311">
        <v>515</v>
      </c>
      <c r="I1889" s="220" t="s">
        <v>640</v>
      </c>
      <c r="J1889" s="64">
        <v>500000</v>
      </c>
      <c r="K1889" s="221"/>
      <c r="L1889" s="59">
        <f t="shared" si="108"/>
        <v>500000</v>
      </c>
    </row>
    <row r="1890" spans="1:12" ht="15" x14ac:dyDescent="0.2">
      <c r="A1890" s="519"/>
      <c r="B1890" s="49"/>
      <c r="C1890" s="438"/>
      <c r="D1890" s="519"/>
      <c r="E1890" s="579"/>
      <c r="F1890" s="311">
        <v>381</v>
      </c>
      <c r="G1890" s="47"/>
      <c r="H1890" s="311">
        <v>523</v>
      </c>
      <c r="I1890" s="220" t="s">
        <v>24</v>
      </c>
      <c r="J1890" s="64"/>
      <c r="K1890" s="221">
        <v>2200000</v>
      </c>
      <c r="L1890" s="59">
        <f t="shared" si="108"/>
        <v>2200000</v>
      </c>
    </row>
    <row r="1891" spans="1:12" ht="15" x14ac:dyDescent="0.25">
      <c r="A1891" s="519"/>
      <c r="B1891" s="49"/>
      <c r="C1891" s="438"/>
      <c r="D1891" s="519"/>
      <c r="E1891" s="579"/>
      <c r="F1891" s="311"/>
      <c r="G1891" s="47"/>
      <c r="H1891" s="315"/>
      <c r="I1891" s="777"/>
      <c r="J1891" s="778"/>
      <c r="K1891" s="779"/>
      <c r="L1891" s="650"/>
    </row>
    <row r="1892" spans="1:12" ht="15" x14ac:dyDescent="0.25">
      <c r="A1892" s="519"/>
      <c r="B1892" s="49"/>
      <c r="C1892" s="438"/>
      <c r="D1892" s="519"/>
      <c r="E1892" s="579"/>
      <c r="F1892" s="311"/>
      <c r="G1892" s="55" t="s">
        <v>37</v>
      </c>
      <c r="H1892" s="315"/>
      <c r="I1892" s="220" t="s">
        <v>38</v>
      </c>
      <c r="J1892" s="59">
        <f>SUM(J1897-J1894)</f>
        <v>33481400</v>
      </c>
      <c r="K1892" s="59"/>
      <c r="L1892" s="59">
        <f>SUM(J1892:K1892)</f>
        <v>33481400</v>
      </c>
    </row>
    <row r="1893" spans="1:12" ht="24.75" customHeight="1" x14ac:dyDescent="0.2">
      <c r="A1893" s="519"/>
      <c r="B1893" s="49"/>
      <c r="C1893" s="438"/>
      <c r="D1893" s="519"/>
      <c r="E1893" s="579"/>
      <c r="F1893" s="311"/>
      <c r="G1893" s="55" t="s">
        <v>55</v>
      </c>
      <c r="H1893" s="312"/>
      <c r="I1893" s="220" t="s">
        <v>56</v>
      </c>
      <c r="J1893" s="59"/>
      <c r="K1893" s="59">
        <f>SUM(K1897-K1896-K1895-K1894)</f>
        <v>2216050</v>
      </c>
      <c r="L1893" s="59">
        <f t="shared" ref="L1893:L1896" si="109">SUM(J1893:K1893)</f>
        <v>2216050</v>
      </c>
    </row>
    <row r="1894" spans="1:12" ht="15" x14ac:dyDescent="0.2">
      <c r="A1894" s="519"/>
      <c r="B1894" s="49"/>
      <c r="C1894" s="438"/>
      <c r="D1894" s="519"/>
      <c r="E1894" s="579"/>
      <c r="F1894" s="311"/>
      <c r="G1894" s="55" t="s">
        <v>113</v>
      </c>
      <c r="H1894" s="311"/>
      <c r="I1894" s="220" t="s">
        <v>280</v>
      </c>
      <c r="J1894" s="59"/>
      <c r="K1894" s="59">
        <v>2200000</v>
      </c>
      <c r="L1894" s="59">
        <f t="shared" si="109"/>
        <v>2200000</v>
      </c>
    </row>
    <row r="1895" spans="1:12" x14ac:dyDescent="0.2">
      <c r="D1895" s="519"/>
      <c r="E1895" s="579"/>
      <c r="F1895" s="311"/>
      <c r="G1895" s="55" t="s">
        <v>260</v>
      </c>
      <c r="H1895" s="319"/>
      <c r="I1895" s="220" t="s">
        <v>261</v>
      </c>
      <c r="J1895" s="59"/>
      <c r="K1895" s="59">
        <v>4950000</v>
      </c>
      <c r="L1895" s="59">
        <f t="shared" si="109"/>
        <v>4950000</v>
      </c>
    </row>
    <row r="1896" spans="1:12" x14ac:dyDescent="0.2">
      <c r="D1896" s="519"/>
      <c r="E1896" s="579"/>
      <c r="F1896" s="311"/>
      <c r="G1896" s="55" t="s">
        <v>641</v>
      </c>
      <c r="H1896" s="319"/>
      <c r="I1896" s="220" t="s">
        <v>642</v>
      </c>
      <c r="J1896" s="59"/>
      <c r="K1896" s="59">
        <v>500000</v>
      </c>
      <c r="L1896" s="59">
        <f t="shared" si="109"/>
        <v>500000</v>
      </c>
    </row>
    <row r="1897" spans="1:12" x14ac:dyDescent="0.2">
      <c r="D1897" s="519"/>
      <c r="E1897" s="584"/>
      <c r="F1897" s="311"/>
      <c r="G1897" s="47"/>
      <c r="H1897" s="780"/>
      <c r="I1897" s="229" t="s">
        <v>293</v>
      </c>
      <c r="J1897" s="60">
        <f>SUM(J1872:J1890)</f>
        <v>33481400</v>
      </c>
      <c r="K1897" s="60">
        <f t="shared" ref="K1897:L1897" si="110">SUM(K1872:K1890)</f>
        <v>9866050</v>
      </c>
      <c r="L1897" s="60">
        <f t="shared" si="110"/>
        <v>43347450</v>
      </c>
    </row>
    <row r="1898" spans="1:12" ht="15" x14ac:dyDescent="0.25">
      <c r="A1898" s="711"/>
      <c r="B1898" s="711"/>
      <c r="C1898" s="646"/>
      <c r="D1898" s="645"/>
      <c r="E1898" s="626"/>
      <c r="F1898" s="319"/>
      <c r="G1898" s="47"/>
      <c r="H1898" s="315"/>
      <c r="I1898" s="217"/>
      <c r="J1898" s="224"/>
      <c r="K1898" s="781"/>
      <c r="L1898" s="61"/>
    </row>
    <row r="1899" spans="1:12" ht="15" x14ac:dyDescent="0.25">
      <c r="D1899" s="519"/>
      <c r="E1899" s="580"/>
      <c r="F1899" s="493"/>
      <c r="G1899" s="669"/>
      <c r="H1899" s="472"/>
      <c r="I1899" s="671" t="s">
        <v>237</v>
      </c>
      <c r="J1899" s="782"/>
      <c r="K1899" s="783"/>
      <c r="L1899" s="410"/>
    </row>
    <row r="1900" spans="1:12" ht="15" x14ac:dyDescent="0.25">
      <c r="D1900" s="519"/>
      <c r="E1900" s="580" t="s">
        <v>238</v>
      </c>
      <c r="F1900" s="493"/>
      <c r="G1900" s="669"/>
      <c r="H1900" s="472"/>
      <c r="I1900" s="675" t="s">
        <v>446</v>
      </c>
      <c r="J1900" s="411"/>
      <c r="K1900" s="412"/>
      <c r="L1900" s="413"/>
    </row>
    <row r="1901" spans="1:12" x14ac:dyDescent="0.2">
      <c r="D1901" s="519"/>
      <c r="E1901" s="579"/>
      <c r="F1901" s="319"/>
      <c r="G1901" s="666"/>
      <c r="H1901" s="311"/>
      <c r="I1901" s="668"/>
      <c r="J1901" s="262"/>
      <c r="K1901" s="245"/>
      <c r="L1901" s="251"/>
    </row>
    <row r="1902" spans="1:12" x14ac:dyDescent="0.2">
      <c r="D1902" s="519"/>
      <c r="E1902" s="579"/>
      <c r="F1902" s="319">
        <v>382</v>
      </c>
      <c r="G1902" s="79"/>
      <c r="H1902" s="319">
        <v>423</v>
      </c>
      <c r="I1902" s="275" t="s">
        <v>9</v>
      </c>
      <c r="J1902" s="53">
        <v>1170000</v>
      </c>
      <c r="K1902" s="231">
        <v>20000</v>
      </c>
      <c r="L1902" s="54">
        <f>SUM(J1902+K1902)</f>
        <v>1190000</v>
      </c>
    </row>
    <row r="1903" spans="1:12" ht="15" x14ac:dyDescent="0.2">
      <c r="A1903" s="519"/>
      <c r="B1903" s="49"/>
      <c r="C1903" s="438"/>
      <c r="D1903" s="519"/>
      <c r="E1903" s="579"/>
      <c r="F1903" s="319">
        <v>383</v>
      </c>
      <c r="G1903" s="79"/>
      <c r="H1903" s="319">
        <v>424</v>
      </c>
      <c r="I1903" s="275" t="s">
        <v>10</v>
      </c>
      <c r="J1903" s="53">
        <v>15110000</v>
      </c>
      <c r="K1903" s="231">
        <v>4000000</v>
      </c>
      <c r="L1903" s="54">
        <f>SUM(J1903+K1903)</f>
        <v>19110000</v>
      </c>
    </row>
    <row r="1904" spans="1:12" ht="15" x14ac:dyDescent="0.2">
      <c r="A1904" s="519"/>
      <c r="B1904" s="49"/>
      <c r="C1904" s="438"/>
      <c r="D1904" s="519"/>
      <c r="E1904" s="579"/>
      <c r="F1904" s="311">
        <v>384</v>
      </c>
      <c r="G1904" s="79"/>
      <c r="H1904" s="319">
        <v>426</v>
      </c>
      <c r="I1904" s="275" t="s">
        <v>35</v>
      </c>
      <c r="J1904" s="53">
        <v>200000</v>
      </c>
      <c r="K1904" s="231">
        <v>80000</v>
      </c>
      <c r="L1904" s="54">
        <f>SUM(J1904+K1904)</f>
        <v>280000</v>
      </c>
    </row>
    <row r="1905" spans="1:13" ht="15" x14ac:dyDescent="0.2">
      <c r="A1905" s="519"/>
      <c r="B1905" s="49"/>
      <c r="C1905" s="438"/>
      <c r="D1905" s="519"/>
      <c r="E1905" s="579"/>
      <c r="F1905" s="311"/>
      <c r="G1905" s="47"/>
      <c r="H1905" s="312"/>
      <c r="I1905" s="700"/>
      <c r="J1905" s="264"/>
      <c r="K1905" s="244"/>
      <c r="L1905" s="784"/>
    </row>
    <row r="1906" spans="1:13" ht="15" x14ac:dyDescent="0.2">
      <c r="A1906" s="519"/>
      <c r="B1906" s="49"/>
      <c r="C1906" s="438"/>
      <c r="D1906" s="519"/>
      <c r="E1906" s="579"/>
      <c r="F1906" s="311"/>
      <c r="G1906" s="55" t="s">
        <v>37</v>
      </c>
      <c r="H1906" s="312"/>
      <c r="I1906" s="220" t="s">
        <v>38</v>
      </c>
      <c r="J1906" s="59">
        <f>SUM(J1909-J1907)</f>
        <v>15480000</v>
      </c>
      <c r="K1906" s="59"/>
      <c r="L1906" s="59">
        <f>SUM(J1906+K1906)</f>
        <v>15480000</v>
      </c>
    </row>
    <row r="1907" spans="1:13" ht="12.75" customHeight="1" x14ac:dyDescent="0.2">
      <c r="A1907" s="519"/>
      <c r="B1907" s="49"/>
      <c r="C1907" s="438"/>
      <c r="D1907" s="519"/>
      <c r="E1907" s="579"/>
      <c r="F1907" s="311"/>
      <c r="G1907" s="55" t="s">
        <v>113</v>
      </c>
      <c r="H1907" s="312"/>
      <c r="I1907" s="220" t="s">
        <v>280</v>
      </c>
      <c r="J1907" s="59">
        <v>1000000</v>
      </c>
      <c r="K1907" s="59"/>
      <c r="L1907" s="59">
        <f>SUM(J1907+K1907)</f>
        <v>1000000</v>
      </c>
    </row>
    <row r="1908" spans="1:13" ht="14.25" customHeight="1" x14ac:dyDescent="0.2">
      <c r="D1908" s="519"/>
      <c r="E1908" s="579"/>
      <c r="F1908" s="311"/>
      <c r="G1908" s="55" t="s">
        <v>55</v>
      </c>
      <c r="H1908" s="312"/>
      <c r="I1908" s="220" t="s">
        <v>56</v>
      </c>
      <c r="J1908" s="59"/>
      <c r="K1908" s="59">
        <v>4100000</v>
      </c>
      <c r="L1908" s="59">
        <f>SUM(J1908+K1908)</f>
        <v>4100000</v>
      </c>
    </row>
    <row r="1909" spans="1:13" ht="12" customHeight="1" x14ac:dyDescent="0.2">
      <c r="D1909" s="519"/>
      <c r="E1909" s="579"/>
      <c r="F1909" s="311"/>
      <c r="G1909" s="47"/>
      <c r="H1909" s="311"/>
      <c r="I1909" s="229" t="s">
        <v>294</v>
      </c>
      <c r="J1909" s="60">
        <f>SUM(J1902:J1904)</f>
        <v>16480000</v>
      </c>
      <c r="K1909" s="60">
        <f t="shared" ref="K1909:L1909" si="111">SUM(K1902:K1904)</f>
        <v>4100000</v>
      </c>
      <c r="L1909" s="60">
        <f t="shared" si="111"/>
        <v>20580000</v>
      </c>
    </row>
    <row r="1910" spans="1:13" x14ac:dyDescent="0.2">
      <c r="A1910" s="519"/>
      <c r="B1910" s="49"/>
      <c r="E1910" s="584"/>
      <c r="F1910" s="311"/>
      <c r="G1910" s="47"/>
      <c r="H1910" s="311"/>
      <c r="I1910" s="26"/>
      <c r="J1910" s="30"/>
      <c r="K1910" s="30"/>
      <c r="L1910" s="61"/>
    </row>
    <row r="1911" spans="1:13" x14ac:dyDescent="0.2">
      <c r="A1911" s="519"/>
      <c r="B1911" s="49"/>
      <c r="D1911" s="49"/>
      <c r="E1911" s="579"/>
      <c r="F1911" s="311"/>
      <c r="G1911" s="47"/>
      <c r="H1911" s="311"/>
      <c r="I1911" s="871" t="s">
        <v>699</v>
      </c>
      <c r="J1911" s="873">
        <f>SUM(J1897+J1909)</f>
        <v>49961400</v>
      </c>
      <c r="K1911" s="873">
        <f t="shared" ref="K1911:L1911" si="112">SUM(K1897+K1909)</f>
        <v>13966050</v>
      </c>
      <c r="L1911" s="873">
        <f t="shared" si="112"/>
        <v>63927450</v>
      </c>
    </row>
    <row r="1912" spans="1:13" x14ac:dyDescent="0.2">
      <c r="A1912" s="519"/>
      <c r="B1912" s="49"/>
      <c r="E1912" s="579"/>
      <c r="F1912" s="311"/>
      <c r="G1912" s="47"/>
      <c r="H1912" s="311"/>
      <c r="I1912" s="26"/>
      <c r="J1912" s="192"/>
      <c r="K1912" s="192"/>
      <c r="L1912" s="327"/>
    </row>
    <row r="1913" spans="1:13" ht="15" x14ac:dyDescent="0.25">
      <c r="B1913" s="49"/>
      <c r="E1913" s="579"/>
      <c r="F1913" s="311"/>
      <c r="G1913" s="47"/>
      <c r="H1913" s="315"/>
      <c r="I1913" s="233"/>
      <c r="J1913" s="31"/>
      <c r="K1913" s="31"/>
      <c r="L1913" s="77"/>
    </row>
    <row r="1914" spans="1:13" ht="28.5" customHeight="1" x14ac:dyDescent="0.2">
      <c r="B1914" s="49"/>
      <c r="D1914" s="519"/>
      <c r="E1914" s="581" t="s">
        <v>384</v>
      </c>
      <c r="F1914" s="391"/>
      <c r="G1914" s="334"/>
      <c r="H1914" s="440"/>
      <c r="I1914" s="339" t="s">
        <v>807</v>
      </c>
      <c r="J1914" s="80"/>
      <c r="K1914" s="80"/>
      <c r="L1914" s="260"/>
    </row>
    <row r="1915" spans="1:13" x14ac:dyDescent="0.2">
      <c r="B1915" s="185"/>
      <c r="C1915" s="185"/>
      <c r="D1915" s="517"/>
      <c r="E1915" s="579"/>
      <c r="F1915" s="311">
        <v>385</v>
      </c>
      <c r="G1915" s="47"/>
      <c r="H1915" s="311">
        <v>454</v>
      </c>
      <c r="I1915" s="270" t="s">
        <v>115</v>
      </c>
      <c r="J1915" s="59">
        <v>4000000</v>
      </c>
      <c r="K1915" s="59"/>
      <c r="L1915" s="59">
        <f>SUM(J1915+K1915)</f>
        <v>4000000</v>
      </c>
      <c r="M1915" s="188"/>
    </row>
    <row r="1916" spans="1:13" x14ac:dyDescent="0.2">
      <c r="A1916" s="519"/>
      <c r="B1916" s="49"/>
      <c r="E1916" s="584"/>
      <c r="F1916" s="311"/>
      <c r="G1916" s="47"/>
      <c r="H1916" s="311"/>
      <c r="I1916" s="299" t="s">
        <v>710</v>
      </c>
      <c r="J1916" s="56">
        <f>SUM(J1915)</f>
        <v>4000000</v>
      </c>
      <c r="K1916" s="60"/>
      <c r="L1916" s="60">
        <f>SUM(J1916+K1916)</f>
        <v>4000000</v>
      </c>
      <c r="M1916" s="203"/>
    </row>
    <row r="1917" spans="1:13" ht="15" x14ac:dyDescent="0.25">
      <c r="A1917" s="519"/>
      <c r="B1917" s="49"/>
      <c r="D1917" s="49"/>
      <c r="E1917" s="579"/>
      <c r="F1917" s="319"/>
      <c r="G1917" s="55" t="s">
        <v>37</v>
      </c>
      <c r="H1917" s="315"/>
      <c r="I1917" s="220" t="s">
        <v>38</v>
      </c>
      <c r="J1917" s="64">
        <f>SUM(J1916)</f>
        <v>4000000</v>
      </c>
      <c r="K1917" s="60"/>
      <c r="L1917" s="59">
        <f>SUM(J1917+K1917)</f>
        <v>4000000</v>
      </c>
    </row>
    <row r="1918" spans="1:13" ht="15" x14ac:dyDescent="0.25">
      <c r="A1918" s="519"/>
      <c r="B1918" s="49"/>
      <c r="D1918" s="49"/>
      <c r="E1918" s="579"/>
      <c r="F1918" s="319"/>
      <c r="G1918" s="55"/>
      <c r="H1918" s="315"/>
      <c r="I1918" s="217"/>
      <c r="J1918" s="187"/>
      <c r="K1918" s="30"/>
      <c r="L1918" s="77"/>
    </row>
    <row r="1919" spans="1:13" ht="22.5" x14ac:dyDescent="0.2">
      <c r="A1919" s="519"/>
      <c r="B1919" s="49"/>
      <c r="D1919" s="49"/>
      <c r="E1919" s="969" t="s">
        <v>384</v>
      </c>
      <c r="F1919" s="970"/>
      <c r="G1919" s="971"/>
      <c r="H1919" s="970"/>
      <c r="I1919" s="987" t="s">
        <v>1061</v>
      </c>
      <c r="J1919" s="989"/>
      <c r="K1919" s="989"/>
      <c r="L1919" s="990"/>
    </row>
    <row r="1920" spans="1:13" x14ac:dyDescent="0.2">
      <c r="A1920" s="519"/>
      <c r="B1920" s="49"/>
      <c r="D1920" s="49"/>
      <c r="E1920" s="834"/>
      <c r="F1920" s="835" t="s">
        <v>1060</v>
      </c>
      <c r="G1920" s="836"/>
      <c r="H1920" s="835">
        <v>454</v>
      </c>
      <c r="I1920" s="1009" t="s">
        <v>115</v>
      </c>
      <c r="J1920" s="214">
        <v>500000</v>
      </c>
      <c r="K1920" s="214"/>
      <c r="L1920" s="214">
        <f>SUM(J1920+K1920)</f>
        <v>500000</v>
      </c>
    </row>
    <row r="1921" spans="1:16" x14ac:dyDescent="0.2">
      <c r="A1921" s="519"/>
      <c r="B1921" s="49"/>
      <c r="D1921" s="49"/>
      <c r="E1921" s="1010"/>
      <c r="F1921" s="835"/>
      <c r="G1921" s="836"/>
      <c r="H1921" s="835"/>
      <c r="I1921" s="1011" t="s">
        <v>710</v>
      </c>
      <c r="J1921" s="993">
        <f>SUM(J1920)</f>
        <v>500000</v>
      </c>
      <c r="K1921" s="936"/>
      <c r="L1921" s="936">
        <f>SUM(J1921+K1921)</f>
        <v>500000</v>
      </c>
    </row>
    <row r="1922" spans="1:16" ht="15" x14ac:dyDescent="0.25">
      <c r="A1922" s="519"/>
      <c r="B1922" s="49"/>
      <c r="D1922" s="49"/>
      <c r="E1922" s="834"/>
      <c r="F1922" s="835"/>
      <c r="G1922" s="984" t="s">
        <v>37</v>
      </c>
      <c r="H1922" s="985"/>
      <c r="I1922" s="935" t="s">
        <v>38</v>
      </c>
      <c r="J1922" s="937">
        <f>SUM(J1921)</f>
        <v>500000</v>
      </c>
      <c r="K1922" s="936"/>
      <c r="L1922" s="214">
        <f>SUM(J1922+K1922)</f>
        <v>500000</v>
      </c>
    </row>
    <row r="1923" spans="1:16" ht="15" x14ac:dyDescent="0.25">
      <c r="A1923" s="519"/>
      <c r="B1923" s="49"/>
      <c r="D1923" s="49"/>
      <c r="E1923" s="834"/>
      <c r="F1923" s="835"/>
      <c r="G1923" s="984"/>
      <c r="H1923" s="985"/>
      <c r="I1923" s="1012"/>
      <c r="J1923" s="1013"/>
      <c r="K1923" s="1014"/>
      <c r="L1923" s="1015"/>
    </row>
    <row r="1924" spans="1:16" ht="15" x14ac:dyDescent="0.25">
      <c r="B1924" s="49"/>
      <c r="E1924" s="581" t="s">
        <v>384</v>
      </c>
      <c r="F1924" s="391"/>
      <c r="G1924" s="334"/>
      <c r="H1924" s="469"/>
      <c r="I1924" s="339" t="s">
        <v>806</v>
      </c>
      <c r="J1924" s="80"/>
      <c r="K1924" s="80"/>
      <c r="L1924" s="260"/>
    </row>
    <row r="1925" spans="1:16" ht="14.25" customHeight="1" x14ac:dyDescent="0.2">
      <c r="B1925" s="49"/>
      <c r="D1925" s="519"/>
      <c r="E1925" s="579"/>
      <c r="F1925" s="311">
        <v>386</v>
      </c>
      <c r="G1925" s="47"/>
      <c r="H1925" s="311">
        <v>425</v>
      </c>
      <c r="I1925" s="270" t="s">
        <v>11</v>
      </c>
      <c r="J1925" s="59">
        <v>1500000</v>
      </c>
      <c r="K1925" s="59"/>
      <c r="L1925" s="59">
        <f>SUM(J1925:K1925)</f>
        <v>1500000</v>
      </c>
    </row>
    <row r="1926" spans="1:16" x14ac:dyDescent="0.2">
      <c r="B1926" s="49"/>
      <c r="D1926" s="519"/>
      <c r="E1926" s="579"/>
      <c r="F1926" s="311">
        <v>387</v>
      </c>
      <c r="G1926" s="47"/>
      <c r="H1926" s="311">
        <v>515</v>
      </c>
      <c r="I1926" s="270" t="s">
        <v>23</v>
      </c>
      <c r="J1926" s="59">
        <v>501000</v>
      </c>
      <c r="K1926" s="59"/>
      <c r="L1926" s="59">
        <f t="shared" ref="L1926" si="113">SUM(J1926:K1926)</f>
        <v>501000</v>
      </c>
    </row>
    <row r="1927" spans="1:16" x14ac:dyDescent="0.2">
      <c r="A1927" s="519"/>
      <c r="B1927" s="49"/>
      <c r="D1927" s="519"/>
      <c r="E1927" s="579"/>
      <c r="F1927" s="311"/>
      <c r="G1927" s="47"/>
      <c r="H1927" s="311"/>
      <c r="I1927" s="299" t="s">
        <v>619</v>
      </c>
      <c r="J1927" s="56">
        <f>SUM(J1925:J1926)</f>
        <v>2001000</v>
      </c>
      <c r="K1927" s="60"/>
      <c r="L1927" s="60">
        <f>SUM(J1927:K1927)</f>
        <v>2001000</v>
      </c>
    </row>
    <row r="1928" spans="1:16" x14ac:dyDescent="0.2">
      <c r="A1928" s="519"/>
      <c r="B1928" s="49"/>
      <c r="D1928" s="519"/>
      <c r="E1928" s="579"/>
      <c r="F1928" s="311"/>
      <c r="G1928" s="55" t="s">
        <v>37</v>
      </c>
      <c r="H1928" s="311"/>
      <c r="I1928" s="220" t="s">
        <v>38</v>
      </c>
      <c r="J1928" s="64">
        <f>SUM(J1927)</f>
        <v>2001000</v>
      </c>
      <c r="K1928" s="60"/>
      <c r="L1928" s="59">
        <f>SUM(J1928:K1928)</f>
        <v>2001000</v>
      </c>
    </row>
    <row r="1929" spans="1:16" ht="15" x14ac:dyDescent="0.25">
      <c r="A1929" s="519"/>
      <c r="B1929" s="49"/>
      <c r="D1929" s="519"/>
      <c r="E1929" s="579"/>
      <c r="F1929" s="311"/>
      <c r="G1929" s="47"/>
      <c r="H1929" s="315"/>
      <c r="I1929" s="26"/>
      <c r="J1929" s="30"/>
      <c r="K1929" s="30"/>
      <c r="L1929" s="61"/>
    </row>
    <row r="1930" spans="1:16" s="437" customFormat="1" ht="15" x14ac:dyDescent="0.25">
      <c r="A1930" s="519"/>
      <c r="B1930" s="49"/>
      <c r="C1930" s="49"/>
      <c r="D1930" s="519"/>
      <c r="E1930" s="581" t="s">
        <v>384</v>
      </c>
      <c r="F1930" s="391"/>
      <c r="G1930" s="334"/>
      <c r="H1930" s="393"/>
      <c r="I1930" s="339" t="s">
        <v>805</v>
      </c>
      <c r="J1930" s="80"/>
      <c r="K1930" s="80"/>
      <c r="L1930" s="260"/>
      <c r="M1930" s="17"/>
      <c r="N1930" s="922"/>
      <c r="O1930" s="203"/>
      <c r="P1930" s="923"/>
    </row>
    <row r="1931" spans="1:16" x14ac:dyDescent="0.2">
      <c r="A1931" s="519"/>
      <c r="B1931" s="49"/>
      <c r="D1931" s="519"/>
      <c r="E1931" s="579"/>
      <c r="F1931" s="311">
        <v>388</v>
      </c>
      <c r="G1931" s="47"/>
      <c r="H1931" s="312" t="s">
        <v>719</v>
      </c>
      <c r="I1931" s="270" t="s">
        <v>23</v>
      </c>
      <c r="J1931" s="59">
        <v>7800000</v>
      </c>
      <c r="K1931" s="59"/>
      <c r="L1931" s="59">
        <f t="shared" ref="L1931" si="114">SUM(J1931:K1931)</f>
        <v>7800000</v>
      </c>
    </row>
    <row r="1932" spans="1:16" x14ac:dyDescent="0.2">
      <c r="A1932" s="519"/>
      <c r="B1932" s="49"/>
      <c r="D1932" s="519"/>
      <c r="E1932" s="579"/>
      <c r="F1932" s="311"/>
      <c r="G1932" s="47"/>
      <c r="H1932" s="312"/>
      <c r="I1932" s="299" t="s">
        <v>710</v>
      </c>
      <c r="J1932" s="56">
        <f>SUM(J1931:J1931)</f>
        <v>7800000</v>
      </c>
      <c r="K1932" s="60"/>
      <c r="L1932" s="60">
        <f>SUM(J1932:K1932)</f>
        <v>7800000</v>
      </c>
    </row>
    <row r="1933" spans="1:16" x14ac:dyDescent="0.2">
      <c r="A1933" s="519"/>
      <c r="B1933" s="49"/>
      <c r="E1933" s="579"/>
      <c r="F1933" s="311"/>
      <c r="G1933" s="55" t="s">
        <v>37</v>
      </c>
      <c r="H1933" s="647"/>
      <c r="I1933" s="220" t="s">
        <v>38</v>
      </c>
      <c r="J1933" s="64">
        <f>SUM(J1932)</f>
        <v>7800000</v>
      </c>
      <c r="K1933" s="60"/>
      <c r="L1933" s="59">
        <f>SUM(J1933:K1933)</f>
        <v>7800000</v>
      </c>
    </row>
    <row r="1934" spans="1:16" x14ac:dyDescent="0.2">
      <c r="A1934" s="519"/>
      <c r="B1934" s="49"/>
      <c r="E1934" s="579"/>
      <c r="F1934" s="311"/>
      <c r="G1934" s="55"/>
      <c r="H1934" s="647"/>
      <c r="I1934" s="217"/>
      <c r="J1934" s="187"/>
      <c r="K1934" s="30"/>
      <c r="L1934" s="77"/>
    </row>
    <row r="1935" spans="1:16" x14ac:dyDescent="0.2">
      <c r="A1935" s="519"/>
      <c r="B1935" s="49"/>
      <c r="E1935" s="581" t="s">
        <v>384</v>
      </c>
      <c r="F1935" s="391"/>
      <c r="G1935" s="334"/>
      <c r="H1935" s="393"/>
      <c r="I1935" s="339" t="s">
        <v>1045</v>
      </c>
      <c r="J1935" s="80"/>
      <c r="K1935" s="80"/>
      <c r="L1935" s="260"/>
    </row>
    <row r="1936" spans="1:16" x14ac:dyDescent="0.2">
      <c r="A1936" s="519"/>
      <c r="B1936" s="49"/>
      <c r="E1936" s="579"/>
      <c r="F1936" s="311" t="s">
        <v>1046</v>
      </c>
      <c r="G1936" s="47"/>
      <c r="H1936" s="312" t="s">
        <v>719</v>
      </c>
      <c r="I1936" s="270" t="s">
        <v>23</v>
      </c>
      <c r="J1936" s="59">
        <v>2500000</v>
      </c>
      <c r="K1936" s="59"/>
      <c r="L1936" s="59">
        <f t="shared" ref="L1936" si="115">SUM(J1936:K1936)</f>
        <v>2500000</v>
      </c>
    </row>
    <row r="1937" spans="1:16" x14ac:dyDescent="0.2">
      <c r="A1937" s="519"/>
      <c r="B1937" s="49"/>
      <c r="E1937" s="579"/>
      <c r="F1937" s="311"/>
      <c r="G1937" s="47"/>
      <c r="H1937" s="312"/>
      <c r="I1937" s="299" t="s">
        <v>710</v>
      </c>
      <c r="J1937" s="56">
        <f>SUM(J1936:J1936)</f>
        <v>2500000</v>
      </c>
      <c r="K1937" s="60"/>
      <c r="L1937" s="60">
        <f>SUM(J1937:K1937)</f>
        <v>2500000</v>
      </c>
    </row>
    <row r="1938" spans="1:16" x14ac:dyDescent="0.2">
      <c r="A1938" s="519"/>
      <c r="B1938" s="49"/>
      <c r="E1938" s="579"/>
      <c r="F1938" s="311"/>
      <c r="G1938" s="55" t="s">
        <v>37</v>
      </c>
      <c r="H1938" s="647"/>
      <c r="I1938" s="220" t="s">
        <v>38</v>
      </c>
      <c r="J1938" s="64">
        <f>SUM(J1937)</f>
        <v>2500000</v>
      </c>
      <c r="K1938" s="60"/>
      <c r="L1938" s="59">
        <f>SUM(J1938:K1938)</f>
        <v>2500000</v>
      </c>
    </row>
    <row r="1939" spans="1:16" x14ac:dyDescent="0.2">
      <c r="A1939" s="519"/>
      <c r="B1939" s="49"/>
      <c r="E1939" s="579"/>
      <c r="F1939" s="311"/>
      <c r="G1939" s="55"/>
      <c r="H1939" s="647"/>
      <c r="I1939" s="217"/>
      <c r="J1939" s="187"/>
      <c r="K1939" s="30"/>
      <c r="L1939" s="77"/>
    </row>
    <row r="1940" spans="1:16" x14ac:dyDescent="0.2">
      <c r="A1940" s="519"/>
      <c r="B1940" s="49"/>
      <c r="C1940" s="503"/>
      <c r="D1940" s="503"/>
      <c r="E1940" s="584"/>
      <c r="F1940" s="311"/>
      <c r="G1940" s="47"/>
      <c r="H1940" s="311"/>
      <c r="I1940" s="249"/>
      <c r="J1940" s="30"/>
      <c r="K1940" s="30"/>
      <c r="L1940" s="61"/>
    </row>
    <row r="1941" spans="1:16" x14ac:dyDescent="0.2">
      <c r="A1941" s="645"/>
      <c r="B1941" s="646"/>
      <c r="C1941" s="503"/>
      <c r="D1941" s="503"/>
      <c r="E1941" s="583"/>
      <c r="F1941" s="439"/>
      <c r="G1941" s="329"/>
      <c r="H1941" s="439"/>
      <c r="I1941" s="396" t="s">
        <v>237</v>
      </c>
      <c r="J1941" s="672"/>
      <c r="K1941" s="672"/>
      <c r="L1941" s="673"/>
    </row>
    <row r="1942" spans="1:16" x14ac:dyDescent="0.2">
      <c r="A1942" s="519"/>
      <c r="B1942" s="49"/>
      <c r="E1942" s="580" t="s">
        <v>238</v>
      </c>
      <c r="F1942" s="439"/>
      <c r="G1942" s="329"/>
      <c r="H1942" s="493"/>
      <c r="I1942" s="675" t="s">
        <v>583</v>
      </c>
      <c r="J1942" s="676"/>
      <c r="K1942" s="676"/>
      <c r="L1942" s="413"/>
    </row>
    <row r="1943" spans="1:16" s="190" customFormat="1" x14ac:dyDescent="0.2">
      <c r="A1943" s="519"/>
      <c r="B1943" s="49"/>
      <c r="C1943" s="646"/>
      <c r="D1943" s="711"/>
      <c r="E1943" s="626"/>
      <c r="F1943" s="442"/>
      <c r="G1943" s="321"/>
      <c r="H1943" s="478"/>
      <c r="I1943" s="668"/>
      <c r="J1943" s="250"/>
      <c r="K1943" s="250"/>
      <c r="L1943" s="251"/>
      <c r="M1943" s="17"/>
      <c r="N1943" s="929"/>
      <c r="O1943" s="188"/>
      <c r="P1943" s="927"/>
    </row>
    <row r="1944" spans="1:16" s="190" customFormat="1" x14ac:dyDescent="0.2">
      <c r="A1944" s="519"/>
      <c r="B1944" s="49"/>
      <c r="C1944" s="49">
        <v>860</v>
      </c>
      <c r="D1944" s="49"/>
      <c r="E1944" s="579"/>
      <c r="F1944" s="311"/>
      <c r="G1944" s="47"/>
      <c r="H1944" s="313"/>
      <c r="I1944" s="276" t="s">
        <v>730</v>
      </c>
      <c r="J1944" s="383"/>
      <c r="K1944" s="383"/>
      <c r="L1944" s="376"/>
      <c r="M1944" s="17"/>
      <c r="N1944" s="929"/>
      <c r="O1944" s="188"/>
      <c r="P1944" s="927"/>
    </row>
    <row r="1945" spans="1:16" ht="22.5" x14ac:dyDescent="0.2">
      <c r="A1945" s="519"/>
      <c r="B1945" s="49"/>
      <c r="E1945" s="579"/>
      <c r="F1945" s="311">
        <v>389</v>
      </c>
      <c r="G1945" s="47"/>
      <c r="H1945" s="312" t="s">
        <v>220</v>
      </c>
      <c r="I1945" s="273" t="s">
        <v>307</v>
      </c>
      <c r="J1945" s="231">
        <v>15000000</v>
      </c>
      <c r="K1945" s="54"/>
      <c r="L1945" s="54">
        <f>SUM(J1945+K1945)</f>
        <v>15000000</v>
      </c>
    </row>
    <row r="1946" spans="1:16" x14ac:dyDescent="0.2">
      <c r="A1946" s="519"/>
      <c r="B1946" s="49"/>
      <c r="D1946" s="519"/>
      <c r="E1946" s="579"/>
      <c r="F1946" s="311"/>
      <c r="G1946" s="47"/>
      <c r="H1946" s="312"/>
      <c r="I1946" s="114" t="s">
        <v>294</v>
      </c>
      <c r="J1946" s="364">
        <f>SUM(J1945)</f>
        <v>15000000</v>
      </c>
      <c r="K1946" s="364"/>
      <c r="L1946" s="365">
        <f>SUM(J1946:K1946)</f>
        <v>15000000</v>
      </c>
    </row>
    <row r="1947" spans="1:16" x14ac:dyDescent="0.2">
      <c r="A1947" s="519"/>
      <c r="B1947" s="49"/>
      <c r="D1947" s="519"/>
      <c r="E1947" s="579"/>
      <c r="F1947" s="311"/>
      <c r="G1947" s="55" t="s">
        <v>37</v>
      </c>
      <c r="H1947" s="312"/>
      <c r="I1947" s="65" t="s">
        <v>38</v>
      </c>
      <c r="J1947" s="60">
        <f>SUM(J1946)</f>
        <v>15000000</v>
      </c>
      <c r="K1947" s="60"/>
      <c r="L1947" s="60">
        <f>SUM(J1947+K1947)</f>
        <v>15000000</v>
      </c>
    </row>
    <row r="1948" spans="1:16" x14ac:dyDescent="0.2">
      <c r="A1948" s="519"/>
      <c r="B1948" s="49"/>
      <c r="C1948" s="503"/>
      <c r="D1948" s="503"/>
      <c r="E1948" s="584"/>
      <c r="F1948" s="311"/>
      <c r="G1948" s="47"/>
      <c r="H1948" s="311"/>
      <c r="I1948" s="249"/>
      <c r="J1948" s="30"/>
      <c r="K1948" s="30"/>
      <c r="L1948" s="61"/>
    </row>
    <row r="1949" spans="1:16" x14ac:dyDescent="0.2">
      <c r="A1949" s="519"/>
      <c r="B1949" s="49"/>
      <c r="C1949" s="503"/>
      <c r="D1949" s="503"/>
      <c r="E1949" s="583"/>
      <c r="F1949" s="439"/>
      <c r="G1949" s="329"/>
      <c r="H1949" s="439"/>
      <c r="I1949" s="396" t="s">
        <v>274</v>
      </c>
      <c r="J1949" s="494"/>
      <c r="K1949" s="494"/>
      <c r="L1949" s="331"/>
    </row>
    <row r="1950" spans="1:16" ht="22.5" x14ac:dyDescent="0.2">
      <c r="A1950" s="519"/>
      <c r="B1950" s="49"/>
      <c r="D1950" s="519"/>
      <c r="E1950" s="580" t="s">
        <v>439</v>
      </c>
      <c r="F1950" s="439"/>
      <c r="G1950" s="329"/>
      <c r="H1950" s="439"/>
      <c r="I1950" s="723" t="s">
        <v>440</v>
      </c>
      <c r="J1950" s="486"/>
      <c r="K1950" s="486"/>
      <c r="L1950" s="400"/>
    </row>
    <row r="1951" spans="1:16" ht="15" x14ac:dyDescent="0.25">
      <c r="A1951" s="519"/>
      <c r="B1951" s="49"/>
      <c r="D1951" s="519"/>
      <c r="E1951" s="579"/>
      <c r="F1951" s="311"/>
      <c r="G1951" s="47"/>
      <c r="H1951" s="315"/>
      <c r="I1951" s="728"/>
      <c r="J1951" s="30"/>
      <c r="K1951" s="30"/>
      <c r="L1951" s="61"/>
    </row>
    <row r="1952" spans="1:16" x14ac:dyDescent="0.2">
      <c r="A1952" s="519"/>
      <c r="B1952" s="49"/>
      <c r="C1952" s="49">
        <v>840</v>
      </c>
      <c r="D1952" s="49"/>
      <c r="E1952" s="579"/>
      <c r="F1952" s="311"/>
      <c r="G1952" s="47"/>
      <c r="H1952" s="312"/>
      <c r="I1952" s="276" t="s">
        <v>44</v>
      </c>
      <c r="J1952" s="127"/>
      <c r="K1952" s="127"/>
      <c r="L1952" s="232"/>
    </row>
    <row r="1953" spans="1:13" x14ac:dyDescent="0.2">
      <c r="A1953" s="519"/>
      <c r="B1953" s="49"/>
      <c r="E1953" s="579"/>
      <c r="F1953" s="311">
        <v>390</v>
      </c>
      <c r="G1953" s="47"/>
      <c r="H1953" s="312" t="s">
        <v>220</v>
      </c>
      <c r="I1953" s="270" t="s">
        <v>594</v>
      </c>
      <c r="J1953" s="59">
        <v>16000000</v>
      </c>
      <c r="K1953" s="59"/>
      <c r="L1953" s="59">
        <f>SUM(J1953+K1953)</f>
        <v>16000000</v>
      </c>
    </row>
    <row r="1954" spans="1:13" x14ac:dyDescent="0.2">
      <c r="A1954" s="519"/>
      <c r="B1954" s="49"/>
      <c r="E1954" s="579"/>
      <c r="F1954" s="311"/>
      <c r="G1954" s="47"/>
      <c r="H1954" s="312"/>
      <c r="I1954" s="229" t="s">
        <v>597</v>
      </c>
      <c r="J1954" s="60">
        <f>SUM(J1953)</f>
        <v>16000000</v>
      </c>
      <c r="K1954" s="60"/>
      <c r="L1954" s="60">
        <f>SUM(L1953)</f>
        <v>16000000</v>
      </c>
    </row>
    <row r="1955" spans="1:13" x14ac:dyDescent="0.2">
      <c r="A1955" s="519"/>
      <c r="B1955" s="49"/>
      <c r="E1955" s="579"/>
      <c r="F1955" s="311"/>
      <c r="G1955" s="55" t="s">
        <v>37</v>
      </c>
      <c r="H1955" s="647"/>
      <c r="I1955" s="65" t="s">
        <v>38</v>
      </c>
      <c r="J1955" s="60">
        <f>SUM(J1954)</f>
        <v>16000000</v>
      </c>
      <c r="K1955" s="60"/>
      <c r="L1955" s="60">
        <f>SUM(J1955+K1955)</f>
        <v>16000000</v>
      </c>
    </row>
    <row r="1956" spans="1:13" x14ac:dyDescent="0.2">
      <c r="A1956" s="519"/>
      <c r="B1956" s="49"/>
      <c r="C1956" s="503"/>
      <c r="D1956" s="503"/>
      <c r="E1956" s="584"/>
      <c r="F1956" s="311"/>
      <c r="G1956" s="47"/>
      <c r="H1956" s="311"/>
      <c r="I1956" s="26"/>
      <c r="J1956" s="30"/>
      <c r="K1956" s="30"/>
      <c r="L1956" s="61"/>
    </row>
    <row r="1957" spans="1:13" x14ac:dyDescent="0.2">
      <c r="A1957" s="645"/>
      <c r="B1957" s="646"/>
      <c r="C1957" s="503"/>
      <c r="D1957" s="503"/>
      <c r="E1957" s="583"/>
      <c r="F1957" s="439"/>
      <c r="G1957" s="329"/>
      <c r="H1957" s="439"/>
      <c r="I1957" s="396" t="s">
        <v>412</v>
      </c>
      <c r="J1957" s="494"/>
      <c r="K1957" s="494"/>
      <c r="L1957" s="331"/>
    </row>
    <row r="1958" spans="1:13" ht="22.5" x14ac:dyDescent="0.2">
      <c r="A1958" s="519"/>
      <c r="B1958" s="49"/>
      <c r="E1958" s="580" t="s">
        <v>441</v>
      </c>
      <c r="F1958" s="439"/>
      <c r="G1958" s="329"/>
      <c r="H1958" s="439"/>
      <c r="I1958" s="723" t="s">
        <v>442</v>
      </c>
      <c r="J1958" s="399"/>
      <c r="K1958" s="399"/>
      <c r="L1958" s="402"/>
    </row>
    <row r="1959" spans="1:13" x14ac:dyDescent="0.2">
      <c r="A1959" s="519"/>
      <c r="B1959" s="49"/>
      <c r="C1959" s="646"/>
      <c r="D1959" s="711"/>
      <c r="E1959" s="626"/>
      <c r="F1959" s="442"/>
      <c r="G1959" s="321"/>
      <c r="H1959" s="311"/>
      <c r="I1959" s="728"/>
      <c r="J1959" s="31"/>
      <c r="K1959" s="31"/>
      <c r="L1959" s="77"/>
    </row>
    <row r="1960" spans="1:13" x14ac:dyDescent="0.2">
      <c r="A1960" s="519"/>
      <c r="B1960" s="49"/>
      <c r="C1960" s="49">
        <v>860</v>
      </c>
      <c r="D1960" s="49"/>
      <c r="E1960" s="579"/>
      <c r="F1960" s="311"/>
      <c r="G1960" s="47"/>
      <c r="H1960" s="312"/>
      <c r="I1960" s="276" t="s">
        <v>45</v>
      </c>
      <c r="J1960" s="127"/>
      <c r="K1960" s="127"/>
      <c r="L1960" s="232"/>
    </row>
    <row r="1961" spans="1:13" x14ac:dyDescent="0.2">
      <c r="A1961" s="519"/>
      <c r="B1961" s="49"/>
      <c r="D1961" s="49"/>
      <c r="E1961" s="579"/>
      <c r="F1961" s="311"/>
      <c r="G1961" s="47"/>
      <c r="H1961" s="312"/>
      <c r="I1961" s="26" t="s">
        <v>40</v>
      </c>
      <c r="J1961" s="31"/>
      <c r="K1961" s="31"/>
      <c r="L1961" s="77"/>
    </row>
    <row r="1962" spans="1:13" x14ac:dyDescent="0.2">
      <c r="A1962" s="519"/>
      <c r="B1962" s="49"/>
      <c r="E1962" s="579"/>
      <c r="F1962" s="311">
        <v>391</v>
      </c>
      <c r="G1962" s="47"/>
      <c r="H1962" s="311">
        <v>423</v>
      </c>
      <c r="I1962" s="220" t="s">
        <v>598</v>
      </c>
      <c r="J1962" s="59">
        <v>28000000</v>
      </c>
      <c r="K1962" s="59"/>
      <c r="L1962" s="59">
        <f>SUM(J1962+K1962)</f>
        <v>28000000</v>
      </c>
    </row>
    <row r="1963" spans="1:13" ht="15" x14ac:dyDescent="0.25">
      <c r="A1963" s="519"/>
      <c r="B1963" s="49"/>
      <c r="D1963" s="519"/>
      <c r="E1963" s="579"/>
      <c r="F1963" s="311"/>
      <c r="G1963" s="47"/>
      <c r="H1963" s="315"/>
      <c r="I1963" s="229" t="s">
        <v>596</v>
      </c>
      <c r="J1963" s="60">
        <f>SUM(J1962)</f>
        <v>28000000</v>
      </c>
      <c r="K1963" s="60"/>
      <c r="L1963" s="60">
        <f>SUM(J1963:K1963)</f>
        <v>28000000</v>
      </c>
    </row>
    <row r="1964" spans="1:13" ht="15" x14ac:dyDescent="0.25">
      <c r="C1964" s="503"/>
      <c r="D1964" s="503"/>
      <c r="E1964" s="584"/>
      <c r="F1964" s="311"/>
      <c r="G1964" s="55" t="s">
        <v>37</v>
      </c>
      <c r="H1964" s="315"/>
      <c r="I1964" s="65" t="s">
        <v>38</v>
      </c>
      <c r="J1964" s="60">
        <f>SUM(J1963)</f>
        <v>28000000</v>
      </c>
      <c r="K1964" s="60"/>
      <c r="L1964" s="60">
        <f>SUM(J1964+K1964)</f>
        <v>28000000</v>
      </c>
    </row>
    <row r="1965" spans="1:13" ht="15" x14ac:dyDescent="0.25">
      <c r="D1965" s="49"/>
      <c r="E1965" s="579"/>
      <c r="F1965" s="311"/>
      <c r="G1965" s="47"/>
      <c r="H1965" s="315"/>
      <c r="I1965" s="26"/>
      <c r="J1965" s="192"/>
      <c r="K1965" s="192"/>
      <c r="L1965" s="327"/>
      <c r="M1965" s="188"/>
    </row>
    <row r="1966" spans="1:13" ht="15" x14ac:dyDescent="0.25">
      <c r="C1966" s="49">
        <v>860</v>
      </c>
      <c r="D1966" s="49"/>
      <c r="E1966" s="581">
        <v>1201</v>
      </c>
      <c r="F1966" s="391"/>
      <c r="G1966" s="334"/>
      <c r="H1966" s="469"/>
      <c r="I1966" s="339" t="s">
        <v>804</v>
      </c>
      <c r="J1966" s="80"/>
      <c r="K1966" s="80"/>
      <c r="L1966" s="260"/>
    </row>
    <row r="1967" spans="1:13" x14ac:dyDescent="0.2">
      <c r="D1967" s="49"/>
      <c r="E1967" s="579"/>
      <c r="F1967" s="445">
        <v>392</v>
      </c>
      <c r="G1967" s="234"/>
      <c r="H1967" s="445">
        <v>424</v>
      </c>
      <c r="I1967" s="277" t="s">
        <v>644</v>
      </c>
      <c r="J1967" s="64">
        <v>1000000</v>
      </c>
      <c r="K1967" s="60"/>
      <c r="L1967" s="232">
        <f t="shared" ref="L1967:L1974" si="116">SUM(J1967:K1967)</f>
        <v>1000000</v>
      </c>
    </row>
    <row r="1968" spans="1:13" x14ac:dyDescent="0.2">
      <c r="D1968" s="49"/>
      <c r="E1968" s="579"/>
      <c r="F1968" s="311">
        <v>393</v>
      </c>
      <c r="G1968" s="47"/>
      <c r="H1968" s="311">
        <v>424</v>
      </c>
      <c r="I1968" s="277" t="s">
        <v>645</v>
      </c>
      <c r="J1968" s="59">
        <v>1000000</v>
      </c>
      <c r="K1968" s="60"/>
      <c r="L1968" s="232">
        <f t="shared" si="116"/>
        <v>1000000</v>
      </c>
    </row>
    <row r="1969" spans="1:16" s="190" customFormat="1" ht="15" customHeight="1" x14ac:dyDescent="0.2">
      <c r="A1969" s="50"/>
      <c r="B1969" s="50"/>
      <c r="C1969" s="49"/>
      <c r="D1969" s="49"/>
      <c r="E1969" s="579"/>
      <c r="F1969" s="445">
        <v>394</v>
      </c>
      <c r="G1969" s="47"/>
      <c r="H1969" s="311">
        <v>424</v>
      </c>
      <c r="I1969" s="277" t="s">
        <v>652</v>
      </c>
      <c r="J1969" s="59">
        <v>1164000</v>
      </c>
      <c r="K1969" s="60"/>
      <c r="L1969" s="232">
        <f t="shared" si="116"/>
        <v>1164000</v>
      </c>
      <c r="M1969" s="17"/>
      <c r="N1969" s="929"/>
      <c r="O1969" s="188"/>
      <c r="P1969" s="927"/>
    </row>
    <row r="1970" spans="1:16" x14ac:dyDescent="0.2">
      <c r="D1970" s="49"/>
      <c r="E1970" s="579"/>
      <c r="F1970" s="311">
        <v>395</v>
      </c>
      <c r="G1970" s="47"/>
      <c r="H1970" s="311">
        <v>424</v>
      </c>
      <c r="I1970" s="278" t="s">
        <v>679</v>
      </c>
      <c r="J1970" s="59">
        <v>1350000</v>
      </c>
      <c r="K1970" s="60"/>
      <c r="L1970" s="232">
        <f t="shared" si="116"/>
        <v>1350000</v>
      </c>
    </row>
    <row r="1971" spans="1:16" x14ac:dyDescent="0.2">
      <c r="D1971" s="49"/>
      <c r="E1971" s="579"/>
      <c r="F1971" s="445">
        <v>396</v>
      </c>
      <c r="G1971" s="47"/>
      <c r="H1971" s="311">
        <v>424</v>
      </c>
      <c r="I1971" s="278" t="s">
        <v>706</v>
      </c>
      <c r="J1971" s="59">
        <v>9000000</v>
      </c>
      <c r="K1971" s="60"/>
      <c r="L1971" s="232">
        <f t="shared" si="116"/>
        <v>9000000</v>
      </c>
    </row>
    <row r="1972" spans="1:16" x14ac:dyDescent="0.2">
      <c r="D1972" s="49"/>
      <c r="E1972" s="579"/>
      <c r="F1972" s="311" t="s">
        <v>1038</v>
      </c>
      <c r="G1972" s="47"/>
      <c r="H1972" s="311">
        <v>424</v>
      </c>
      <c r="I1972" s="278" t="s">
        <v>1039</v>
      </c>
      <c r="J1972" s="59">
        <v>5760000</v>
      </c>
      <c r="K1972" s="60"/>
      <c r="L1972" s="232">
        <f t="shared" si="116"/>
        <v>5760000</v>
      </c>
    </row>
    <row r="1973" spans="1:16" ht="22.5" x14ac:dyDescent="0.2">
      <c r="D1973" s="49"/>
      <c r="E1973" s="579"/>
      <c r="F1973" s="311">
        <v>397</v>
      </c>
      <c r="G1973" s="47"/>
      <c r="H1973" s="311">
        <v>424</v>
      </c>
      <c r="I1973" s="278" t="s">
        <v>646</v>
      </c>
      <c r="J1973" s="59">
        <v>4000000</v>
      </c>
      <c r="K1973" s="60"/>
      <c r="L1973" s="232">
        <f t="shared" ref="L1973" si="117">SUM(J1973:K1973)</f>
        <v>4000000</v>
      </c>
    </row>
    <row r="1974" spans="1:16" x14ac:dyDescent="0.2">
      <c r="A1974" s="519"/>
      <c r="B1974" s="49"/>
      <c r="D1974" s="519"/>
      <c r="E1974" s="579"/>
      <c r="F1974" s="311"/>
      <c r="G1974" s="47"/>
      <c r="H1974" s="647"/>
      <c r="I1974" s="235" t="s">
        <v>803</v>
      </c>
      <c r="J1974" s="60">
        <f>SUM(J1967:J1973)</f>
        <v>23274000</v>
      </c>
      <c r="K1974" s="60"/>
      <c r="L1974" s="60">
        <f t="shared" si="116"/>
        <v>23274000</v>
      </c>
    </row>
    <row r="1975" spans="1:16" ht="15" x14ac:dyDescent="0.25">
      <c r="A1975" s="503"/>
      <c r="B1975" s="503"/>
      <c r="C1975" s="511"/>
      <c r="D1975" s="503"/>
      <c r="E1975" s="584"/>
      <c r="F1975" s="311"/>
      <c r="G1975" s="55" t="s">
        <v>37</v>
      </c>
      <c r="H1975" s="312"/>
      <c r="I1975" s="65" t="s">
        <v>38</v>
      </c>
      <c r="J1975" s="60">
        <f>SUM(J1974)</f>
        <v>23274000</v>
      </c>
      <c r="K1975" s="60"/>
      <c r="L1975" s="60">
        <f>SUM(J1975+K1975)</f>
        <v>23274000</v>
      </c>
    </row>
    <row r="1976" spans="1:16" x14ac:dyDescent="0.2">
      <c r="A1976" s="645"/>
      <c r="B1976" s="646"/>
      <c r="C1976" s="646"/>
      <c r="D1976" s="665"/>
      <c r="E1976" s="626"/>
      <c r="F1976" s="311"/>
      <c r="G1976" s="47"/>
      <c r="H1976" s="313"/>
      <c r="I1976" s="26"/>
      <c r="J1976" s="30"/>
      <c r="K1976" s="30"/>
      <c r="L1976" s="61"/>
    </row>
    <row r="1977" spans="1:16" x14ac:dyDescent="0.2">
      <c r="A1977" s="689"/>
      <c r="B1977" s="690"/>
      <c r="C1977" s="690"/>
      <c r="D1977" s="658" t="s">
        <v>240</v>
      </c>
      <c r="E1977" s="617"/>
      <c r="F1977" s="701"/>
      <c r="G1977" s="691"/>
      <c r="H1977" s="759"/>
      <c r="I1977" s="693" t="s">
        <v>241</v>
      </c>
      <c r="J1977" s="662">
        <f>SUM(J1986+J1995+J2015+J2030+J2038+J2043+J2051+J2056+J2061+J2066+J2071+J2077+J2084+J2091+J2098+J2104+J2117+J2006+J2124+J2020+J2110)</f>
        <v>671249479.59000003</v>
      </c>
      <c r="K1977" s="662"/>
      <c r="L1977" s="662">
        <f>SUM(J1977:K1977)</f>
        <v>671249479.59000003</v>
      </c>
    </row>
    <row r="1978" spans="1:16" x14ac:dyDescent="0.2">
      <c r="A1978" s="519"/>
      <c r="B1978" s="49"/>
      <c r="C1978" s="503"/>
      <c r="D1978" s="503"/>
      <c r="E1978" s="584"/>
      <c r="F1978" s="442"/>
      <c r="G1978" s="321"/>
      <c r="H1978" s="311"/>
      <c r="I1978" s="266"/>
      <c r="J1978" s="378"/>
      <c r="K1978" s="378"/>
      <c r="L1978" s="680"/>
    </row>
    <row r="1979" spans="1:16" ht="15" x14ac:dyDescent="0.25">
      <c r="A1979" s="613"/>
      <c r="B1979" s="436"/>
      <c r="C1979" s="503"/>
      <c r="D1979" s="503"/>
      <c r="E1979" s="583"/>
      <c r="F1979" s="439"/>
      <c r="G1979" s="329"/>
      <c r="H1979" s="472"/>
      <c r="I1979" s="396" t="s">
        <v>272</v>
      </c>
      <c r="J1979" s="672"/>
      <c r="K1979" s="672"/>
      <c r="L1979" s="673"/>
    </row>
    <row r="1980" spans="1:16" ht="22.5" x14ac:dyDescent="0.25">
      <c r="A1980" s="519"/>
      <c r="B1980" s="49"/>
      <c r="D1980" s="49"/>
      <c r="E1980" s="580" t="s">
        <v>266</v>
      </c>
      <c r="F1980" s="439"/>
      <c r="G1980" s="329"/>
      <c r="H1980" s="472"/>
      <c r="I1980" s="723" t="s">
        <v>267</v>
      </c>
      <c r="J1980" s="676"/>
      <c r="K1980" s="676"/>
      <c r="L1980" s="413"/>
    </row>
    <row r="1981" spans="1:16" x14ac:dyDescent="0.2">
      <c r="A1981" s="519"/>
      <c r="B1981" s="49"/>
      <c r="C1981" s="436"/>
      <c r="D1981" s="436"/>
      <c r="E1981" s="582"/>
      <c r="F1981" s="441"/>
      <c r="G1981" s="230"/>
      <c r="H1981" s="458"/>
      <c r="I1981" s="249"/>
      <c r="J1981" s="250"/>
      <c r="K1981" s="250"/>
      <c r="L1981" s="251"/>
    </row>
    <row r="1982" spans="1:16" x14ac:dyDescent="0.2">
      <c r="A1982" s="519"/>
      <c r="B1982" s="49"/>
      <c r="C1982" s="49">
        <v>810</v>
      </c>
      <c r="D1982" s="49"/>
      <c r="E1982" s="579"/>
      <c r="F1982" s="311"/>
      <c r="G1982" s="47"/>
      <c r="H1982" s="312"/>
      <c r="I1982" s="279" t="s">
        <v>47</v>
      </c>
      <c r="J1982" s="383"/>
      <c r="K1982" s="383"/>
      <c r="L1982" s="376"/>
    </row>
    <row r="1983" spans="1:16" ht="22.5" x14ac:dyDescent="0.2">
      <c r="A1983" s="519"/>
      <c r="B1983" s="49"/>
      <c r="D1983" s="519"/>
      <c r="E1983" s="579"/>
      <c r="F1983" s="311">
        <v>398</v>
      </c>
      <c r="G1983" s="47"/>
      <c r="H1983" s="311">
        <v>481</v>
      </c>
      <c r="I1983" s="272" t="s">
        <v>308</v>
      </c>
      <c r="J1983" s="54">
        <v>90000000</v>
      </c>
      <c r="K1983" s="54"/>
      <c r="L1983" s="54">
        <f>SUM(J1983+K1983)</f>
        <v>90000000</v>
      </c>
    </row>
    <row r="1984" spans="1:16" x14ac:dyDescent="0.2">
      <c r="A1984" s="519"/>
      <c r="B1984" s="49"/>
      <c r="D1984" s="519"/>
      <c r="E1984" s="579"/>
      <c r="F1984" s="311">
        <v>399</v>
      </c>
      <c r="G1984" s="47"/>
      <c r="H1984" s="311">
        <v>481</v>
      </c>
      <c r="I1984" s="272" t="s">
        <v>721</v>
      </c>
      <c r="J1984" s="54">
        <v>30000000</v>
      </c>
      <c r="K1984" s="54"/>
      <c r="L1984" s="54">
        <f>SUM(J1984+K1984)</f>
        <v>30000000</v>
      </c>
    </row>
    <row r="1985" spans="1:12" x14ac:dyDescent="0.2">
      <c r="A1985" s="519"/>
      <c r="B1985" s="49"/>
      <c r="D1985" s="519"/>
      <c r="E1985" s="579"/>
      <c r="F1985" s="311">
        <v>400</v>
      </c>
      <c r="G1985" s="47"/>
      <c r="H1985" s="319">
        <v>481</v>
      </c>
      <c r="I1985" s="272" t="s">
        <v>571</v>
      </c>
      <c r="J1985" s="54">
        <v>5000000</v>
      </c>
      <c r="K1985" s="54"/>
      <c r="L1985" s="54">
        <f>SUM(J1985+K1985)</f>
        <v>5000000</v>
      </c>
    </row>
    <row r="1986" spans="1:12" x14ac:dyDescent="0.2">
      <c r="A1986" s="519"/>
      <c r="B1986" s="49"/>
      <c r="D1986" s="625"/>
      <c r="E1986" s="579"/>
      <c r="F1986" s="311"/>
      <c r="G1986" s="47"/>
      <c r="H1986" s="313"/>
      <c r="I1986" s="229" t="s">
        <v>599</v>
      </c>
      <c r="J1986" s="199">
        <f>SUM(J1983:J1985)</f>
        <v>125000000</v>
      </c>
      <c r="K1986" s="199"/>
      <c r="L1986" s="199">
        <f>SUM(L1983:L1985)</f>
        <v>125000000</v>
      </c>
    </row>
    <row r="1987" spans="1:12" x14ac:dyDescent="0.2">
      <c r="A1987" s="519"/>
      <c r="B1987" s="49"/>
      <c r="C1987" s="503"/>
      <c r="D1987" s="503"/>
      <c r="E1987" s="584"/>
      <c r="F1987" s="311"/>
      <c r="G1987" s="55" t="s">
        <v>37</v>
      </c>
      <c r="H1987" s="471"/>
      <c r="I1987" s="65" t="s">
        <v>38</v>
      </c>
      <c r="J1987" s="60">
        <f>SUM(J1986)</f>
        <v>125000000</v>
      </c>
      <c r="K1987" s="60"/>
      <c r="L1987" s="60">
        <f>SUM(J1987+K1987)</f>
        <v>125000000</v>
      </c>
    </row>
    <row r="1988" spans="1:12" x14ac:dyDescent="0.2">
      <c r="A1988" s="645"/>
      <c r="B1988" s="646"/>
      <c r="C1988" s="503"/>
      <c r="D1988" s="503"/>
      <c r="E1988" s="584"/>
      <c r="F1988" s="311"/>
      <c r="G1988" s="230"/>
      <c r="H1988" s="311"/>
      <c r="I1988" s="18"/>
      <c r="J1988" s="31"/>
      <c r="K1988" s="31"/>
      <c r="L1988" s="61"/>
    </row>
    <row r="1989" spans="1:12" x14ac:dyDescent="0.2">
      <c r="A1989" s="519"/>
      <c r="B1989" s="49"/>
      <c r="C1989" s="503"/>
      <c r="D1989" s="503"/>
      <c r="E1989" s="583"/>
      <c r="F1989" s="439"/>
      <c r="G1989" s="329"/>
      <c r="H1989" s="439"/>
      <c r="I1989" s="396" t="s">
        <v>412</v>
      </c>
      <c r="J1989" s="397"/>
      <c r="K1989" s="397"/>
      <c r="L1989" s="331"/>
    </row>
    <row r="1990" spans="1:12" x14ac:dyDescent="0.2">
      <c r="A1990" s="519"/>
      <c r="B1990" s="49"/>
      <c r="D1990" s="49"/>
      <c r="E1990" s="580" t="s">
        <v>465</v>
      </c>
      <c r="F1990" s="439"/>
      <c r="G1990" s="329"/>
      <c r="H1990" s="439"/>
      <c r="I1990" s="398" t="s">
        <v>466</v>
      </c>
      <c r="J1990" s="399"/>
      <c r="K1990" s="399"/>
      <c r="L1990" s="400"/>
    </row>
    <row r="1991" spans="1:12" x14ac:dyDescent="0.2">
      <c r="A1991" s="519"/>
      <c r="B1991" s="49"/>
      <c r="C1991" s="646"/>
      <c r="D1991" s="646"/>
      <c r="E1991" s="626"/>
      <c r="F1991" s="311"/>
      <c r="G1991" s="321"/>
      <c r="H1991" s="313"/>
      <c r="I1991" s="266"/>
      <c r="J1991" s="31"/>
      <c r="K1991" s="31"/>
      <c r="L1991" s="61"/>
    </row>
    <row r="1992" spans="1:12" x14ac:dyDescent="0.2">
      <c r="A1992" s="519"/>
      <c r="B1992" s="49"/>
      <c r="C1992" s="49">
        <v>810</v>
      </c>
      <c r="D1992" s="49"/>
      <c r="E1992" s="579"/>
      <c r="F1992" s="311"/>
      <c r="G1992" s="47"/>
      <c r="H1992" s="313"/>
      <c r="I1992" s="287" t="s">
        <v>47</v>
      </c>
      <c r="J1992" s="76"/>
      <c r="K1992" s="76"/>
      <c r="L1992" s="218"/>
    </row>
    <row r="1993" spans="1:12" x14ac:dyDescent="0.2">
      <c r="A1993" s="519"/>
      <c r="B1993" s="49"/>
      <c r="D1993" s="519"/>
      <c r="E1993" s="579"/>
      <c r="F1993" s="311"/>
      <c r="G1993" s="47"/>
      <c r="H1993" s="312"/>
      <c r="I1993" s="233"/>
      <c r="J1993" s="31"/>
      <c r="K1993" s="31"/>
      <c r="L1993" s="77"/>
    </row>
    <row r="1994" spans="1:12" ht="22.5" x14ac:dyDescent="0.2">
      <c r="A1994" s="519"/>
      <c r="B1994" s="49"/>
      <c r="D1994" s="519"/>
      <c r="E1994" s="579"/>
      <c r="F1994" s="311">
        <v>401</v>
      </c>
      <c r="G1994" s="47"/>
      <c r="H1994" s="312" t="s">
        <v>82</v>
      </c>
      <c r="I1994" s="272" t="s">
        <v>295</v>
      </c>
      <c r="J1994" s="64">
        <v>13000000</v>
      </c>
      <c r="K1994" s="59"/>
      <c r="L1994" s="59">
        <f>SUM(J1994+K1994)</f>
        <v>13000000</v>
      </c>
    </row>
    <row r="1995" spans="1:12" x14ac:dyDescent="0.2">
      <c r="A1995" s="519"/>
      <c r="B1995" s="49"/>
      <c r="D1995" s="519"/>
      <c r="E1995" s="579"/>
      <c r="F1995" s="311"/>
      <c r="G1995" s="320"/>
      <c r="H1995" s="311"/>
      <c r="I1995" s="229" t="s">
        <v>620</v>
      </c>
      <c r="J1995" s="56">
        <f>SUM(J1994)</f>
        <v>13000000</v>
      </c>
      <c r="K1995" s="60"/>
      <c r="L1995" s="60">
        <f>SUM(J1994:J1994)</f>
        <v>13000000</v>
      </c>
    </row>
    <row r="1996" spans="1:12" ht="15" x14ac:dyDescent="0.2">
      <c r="A1996" s="519"/>
      <c r="B1996" s="49"/>
      <c r="C1996" s="709"/>
      <c r="E1996" s="579"/>
      <c r="F1996" s="311"/>
      <c r="G1996" s="55" t="s">
        <v>37</v>
      </c>
      <c r="H1996" s="311"/>
      <c r="I1996" s="220" t="s">
        <v>38</v>
      </c>
      <c r="J1996" s="59">
        <f>SUM(J1995)</f>
        <v>13000000</v>
      </c>
      <c r="K1996" s="59"/>
      <c r="L1996" s="59">
        <f>SUM(J1996+K1996)</f>
        <v>13000000</v>
      </c>
    </row>
    <row r="1997" spans="1:12" ht="15" x14ac:dyDescent="0.2">
      <c r="A1997" s="519"/>
      <c r="B1997" s="49"/>
      <c r="C1997" s="709"/>
      <c r="E1997" s="579"/>
      <c r="F1997" s="311"/>
      <c r="G1997" s="55"/>
      <c r="H1997" s="311"/>
      <c r="I1997" s="217"/>
      <c r="J1997" s="31"/>
      <c r="K1997" s="31"/>
      <c r="L1997" s="77"/>
    </row>
    <row r="1998" spans="1:12" x14ac:dyDescent="0.2">
      <c r="A1998" s="519"/>
      <c r="B1998" s="49"/>
      <c r="C1998" s="503"/>
      <c r="D1998" s="503"/>
      <c r="E1998" s="583"/>
      <c r="F1998" s="439"/>
      <c r="G1998" s="329"/>
      <c r="H1998" s="439"/>
      <c r="I1998" s="396" t="s">
        <v>275</v>
      </c>
      <c r="J1998" s="397"/>
      <c r="K1998" s="397"/>
      <c r="L1998" s="331"/>
    </row>
    <row r="1999" spans="1:12" x14ac:dyDescent="0.2">
      <c r="A1999" s="519"/>
      <c r="B1999" s="49"/>
      <c r="D1999" s="49"/>
      <c r="E1999" s="580" t="s">
        <v>733</v>
      </c>
      <c r="F1999" s="439"/>
      <c r="G1999" s="329"/>
      <c r="H1999" s="439"/>
      <c r="I1999" s="398" t="s">
        <v>734</v>
      </c>
      <c r="J1999" s="399"/>
      <c r="K1999" s="399"/>
      <c r="L1999" s="400"/>
    </row>
    <row r="2000" spans="1:12" x14ac:dyDescent="0.2">
      <c r="A2000" s="519"/>
      <c r="B2000" s="49"/>
      <c r="C2000" s="646"/>
      <c r="D2000" s="646"/>
      <c r="E2000" s="626"/>
      <c r="F2000" s="311"/>
      <c r="G2000" s="321"/>
      <c r="H2000" s="313"/>
      <c r="I2000" s="266"/>
      <c r="J2000" s="31"/>
      <c r="K2000" s="31"/>
      <c r="L2000" s="61"/>
    </row>
    <row r="2001" spans="1:13" x14ac:dyDescent="0.2">
      <c r="A2001" s="519"/>
      <c r="B2001" s="49"/>
      <c r="C2001" s="49">
        <v>810</v>
      </c>
      <c r="D2001" s="49"/>
      <c r="E2001" s="579"/>
      <c r="F2001" s="311"/>
      <c r="G2001" s="47"/>
      <c r="H2001" s="313"/>
      <c r="I2001" s="287" t="s">
        <v>47</v>
      </c>
      <c r="J2001" s="76"/>
      <c r="K2001" s="76"/>
      <c r="L2001" s="218"/>
    </row>
    <row r="2002" spans="1:13" x14ac:dyDescent="0.2">
      <c r="A2002" s="519"/>
      <c r="B2002" s="49"/>
      <c r="D2002" s="519"/>
      <c r="E2002" s="579"/>
      <c r="F2002" s="311"/>
      <c r="G2002" s="47"/>
      <c r="H2002" s="312"/>
      <c r="I2002" s="233"/>
      <c r="J2002" s="31"/>
      <c r="K2002" s="31"/>
      <c r="L2002" s="77"/>
    </row>
    <row r="2003" spans="1:13" x14ac:dyDescent="0.2">
      <c r="A2003" s="519"/>
      <c r="B2003" s="49"/>
      <c r="D2003" s="519"/>
      <c r="E2003" s="579"/>
      <c r="F2003" s="311">
        <v>402</v>
      </c>
      <c r="G2003" s="47"/>
      <c r="H2003" s="312" t="s">
        <v>80</v>
      </c>
      <c r="I2003" s="270" t="s">
        <v>9</v>
      </c>
      <c r="J2003" s="59">
        <f>130000+498750</f>
        <v>628750</v>
      </c>
      <c r="K2003" s="59"/>
      <c r="L2003" s="59">
        <f>SUM(J2003:K2003)</f>
        <v>628750</v>
      </c>
    </row>
    <row r="2004" spans="1:13" x14ac:dyDescent="0.2">
      <c r="A2004" s="519"/>
      <c r="B2004" s="49"/>
      <c r="D2004" s="519"/>
      <c r="E2004" s="579"/>
      <c r="F2004" s="311">
        <v>403</v>
      </c>
      <c r="G2004" s="47"/>
      <c r="H2004" s="312" t="s">
        <v>269</v>
      </c>
      <c r="I2004" s="270" t="s">
        <v>35</v>
      </c>
      <c r="J2004" s="59">
        <v>12000</v>
      </c>
      <c r="K2004" s="59"/>
      <c r="L2004" s="59">
        <f t="shared" ref="L2004:L2008" si="118">SUM(J2004:K2004)</f>
        <v>12000</v>
      </c>
    </row>
    <row r="2005" spans="1:13" x14ac:dyDescent="0.2">
      <c r="A2005" s="519"/>
      <c r="B2005" s="49"/>
      <c r="D2005" s="519"/>
      <c r="E2005" s="579"/>
      <c r="F2005" s="311">
        <v>404</v>
      </c>
      <c r="G2005" s="47"/>
      <c r="H2005" s="312" t="s">
        <v>570</v>
      </c>
      <c r="I2005" s="272" t="s">
        <v>21</v>
      </c>
      <c r="J2005" s="64">
        <v>65000</v>
      </c>
      <c r="K2005" s="59"/>
      <c r="L2005" s="59">
        <f t="shared" si="118"/>
        <v>65000</v>
      </c>
    </row>
    <row r="2006" spans="1:13" x14ac:dyDescent="0.2">
      <c r="A2006" s="519"/>
      <c r="B2006" s="49"/>
      <c r="D2006" s="519"/>
      <c r="E2006" s="579"/>
      <c r="F2006" s="311"/>
      <c r="G2006" s="320"/>
      <c r="H2006" s="311"/>
      <c r="I2006" s="229" t="s">
        <v>735</v>
      </c>
      <c r="J2006" s="56">
        <f>SUM(J2003:J2005)</f>
        <v>705750</v>
      </c>
      <c r="K2006" s="60"/>
      <c r="L2006" s="60">
        <f t="shared" si="118"/>
        <v>705750</v>
      </c>
    </row>
    <row r="2007" spans="1:13" x14ac:dyDescent="0.2">
      <c r="A2007" s="519"/>
      <c r="B2007" s="49"/>
      <c r="D2007" s="519"/>
      <c r="E2007" s="579"/>
      <c r="F2007" s="311"/>
      <c r="G2007" s="55" t="s">
        <v>37</v>
      </c>
      <c r="H2007" s="311"/>
      <c r="I2007" s="220" t="s">
        <v>38</v>
      </c>
      <c r="J2007" s="53">
        <f>SUM(J2006-J2008)</f>
        <v>30000</v>
      </c>
      <c r="K2007" s="60"/>
      <c r="L2007" s="54">
        <f t="shared" si="118"/>
        <v>30000</v>
      </c>
    </row>
    <row r="2008" spans="1:13" ht="15" x14ac:dyDescent="0.2">
      <c r="A2008" s="519"/>
      <c r="B2008" s="49"/>
      <c r="C2008" s="709"/>
      <c r="E2008" s="579"/>
      <c r="F2008" s="311"/>
      <c r="G2008" s="55" t="s">
        <v>113</v>
      </c>
      <c r="H2008" s="311"/>
      <c r="I2008" s="270" t="s">
        <v>280</v>
      </c>
      <c r="J2008" s="59">
        <v>675750</v>
      </c>
      <c r="K2008" s="59"/>
      <c r="L2008" s="59">
        <f t="shared" si="118"/>
        <v>675750</v>
      </c>
    </row>
    <row r="2009" spans="1:13" ht="15" x14ac:dyDescent="0.2">
      <c r="A2009" s="519"/>
      <c r="B2009" s="49"/>
      <c r="C2009" s="709"/>
      <c r="E2009" s="579"/>
      <c r="F2009" s="311"/>
      <c r="G2009" s="55"/>
      <c r="H2009" s="311"/>
      <c r="I2009" s="217"/>
      <c r="J2009" s="31"/>
      <c r="K2009" s="31"/>
      <c r="L2009" s="77"/>
    </row>
    <row r="2010" spans="1:13" x14ac:dyDescent="0.2">
      <c r="A2010" s="519"/>
      <c r="B2010" s="49"/>
      <c r="E2010" s="579"/>
      <c r="F2010" s="311"/>
      <c r="G2010" s="47"/>
      <c r="H2010" s="313"/>
      <c r="I2010" s="287" t="s">
        <v>47</v>
      </c>
      <c r="J2010" s="326"/>
      <c r="K2010" s="326"/>
      <c r="L2010" s="57"/>
    </row>
    <row r="2011" spans="1:13" x14ac:dyDescent="0.2">
      <c r="B2011" s="49"/>
      <c r="D2011" s="519"/>
      <c r="E2011" s="579"/>
      <c r="F2011" s="311"/>
      <c r="G2011" s="47"/>
      <c r="H2011" s="311"/>
      <c r="I2011" s="233"/>
      <c r="J2011" s="31"/>
      <c r="K2011" s="31"/>
      <c r="L2011" s="77"/>
    </row>
    <row r="2012" spans="1:13" x14ac:dyDescent="0.2">
      <c r="B2012" s="49"/>
      <c r="D2012" s="519"/>
      <c r="E2012" s="581"/>
      <c r="F2012" s="391"/>
      <c r="G2012" s="334"/>
      <c r="H2012" s="393"/>
      <c r="I2012" s="339" t="s">
        <v>802</v>
      </c>
      <c r="J2012" s="80"/>
      <c r="K2012" s="80"/>
      <c r="L2012" s="260"/>
    </row>
    <row r="2013" spans="1:13" x14ac:dyDescent="0.2">
      <c r="A2013" s="519"/>
      <c r="B2013" s="49"/>
      <c r="D2013" s="519"/>
      <c r="E2013" s="579"/>
      <c r="F2013" s="311">
        <v>405</v>
      </c>
      <c r="G2013" s="47"/>
      <c r="H2013" s="311">
        <v>421</v>
      </c>
      <c r="I2013" s="270" t="s">
        <v>7</v>
      </c>
      <c r="J2013" s="59">
        <v>5500000</v>
      </c>
      <c r="K2013" s="59"/>
      <c r="L2013" s="59">
        <f>SUM(J2013+K2013)</f>
        <v>5500000</v>
      </c>
    </row>
    <row r="2014" spans="1:13" x14ac:dyDescent="0.2">
      <c r="A2014" s="50" t="s">
        <v>700</v>
      </c>
      <c r="B2014" s="49"/>
      <c r="C2014" s="503"/>
      <c r="D2014" s="503"/>
      <c r="E2014" s="584"/>
      <c r="F2014" s="311"/>
      <c r="G2014" s="55" t="s">
        <v>37</v>
      </c>
      <c r="H2014" s="313"/>
      <c r="I2014" s="220" t="s">
        <v>38</v>
      </c>
      <c r="J2014" s="64">
        <f>SUM(J2013)</f>
        <v>5500000</v>
      </c>
      <c r="K2014" s="60"/>
      <c r="L2014" s="59">
        <f>SUM(J2014+K2014)</f>
        <v>5500000</v>
      </c>
      <c r="M2014" s="194"/>
    </row>
    <row r="2015" spans="1:13" x14ac:dyDescent="0.2">
      <c r="B2015" s="49"/>
      <c r="C2015" s="503"/>
      <c r="D2015" s="503"/>
      <c r="E2015" s="584"/>
      <c r="F2015" s="311"/>
      <c r="G2015" s="47"/>
      <c r="H2015" s="312"/>
      <c r="I2015" s="229" t="s">
        <v>710</v>
      </c>
      <c r="J2015" s="60">
        <f>SUM(J2014)</f>
        <v>5500000</v>
      </c>
      <c r="K2015" s="60"/>
      <c r="L2015" s="60">
        <f>SUM(L2014)</f>
        <v>5500000</v>
      </c>
    </row>
    <row r="2016" spans="1:13" x14ac:dyDescent="0.2">
      <c r="B2016" s="49"/>
      <c r="C2016" s="503"/>
      <c r="D2016" s="503"/>
      <c r="E2016" s="584"/>
      <c r="F2016" s="311"/>
      <c r="G2016" s="47"/>
      <c r="H2016" s="312"/>
      <c r="I2016" s="269"/>
      <c r="J2016" s="30"/>
      <c r="K2016" s="30"/>
      <c r="L2016" s="61"/>
    </row>
    <row r="2017" spans="1:16" ht="22.5" x14ac:dyDescent="0.2">
      <c r="B2017" s="49"/>
      <c r="C2017" s="503"/>
      <c r="D2017" s="503"/>
      <c r="E2017" s="581"/>
      <c r="F2017" s="391"/>
      <c r="G2017" s="334"/>
      <c r="H2017" s="393"/>
      <c r="I2017" s="876" t="s">
        <v>1041</v>
      </c>
      <c r="J2017" s="60"/>
      <c r="K2017" s="60"/>
      <c r="L2017" s="60"/>
    </row>
    <row r="2018" spans="1:16" x14ac:dyDescent="0.2">
      <c r="B2018" s="49"/>
      <c r="C2018" s="503"/>
      <c r="D2018" s="503"/>
      <c r="E2018" s="584"/>
      <c r="F2018" s="311" t="s">
        <v>1040</v>
      </c>
      <c r="G2018" s="47"/>
      <c r="H2018" s="312" t="s">
        <v>270</v>
      </c>
      <c r="I2018" s="44" t="s">
        <v>20</v>
      </c>
      <c r="J2018" s="54">
        <v>13000000</v>
      </c>
      <c r="K2018" s="60"/>
      <c r="L2018" s="54">
        <f>SUM(J2018:K2018)</f>
        <v>13000000</v>
      </c>
    </row>
    <row r="2019" spans="1:16" x14ac:dyDescent="0.2">
      <c r="B2019" s="49"/>
      <c r="C2019" s="503"/>
      <c r="D2019" s="503"/>
      <c r="E2019" s="584"/>
      <c r="F2019" s="311"/>
      <c r="G2019" s="55" t="s">
        <v>37</v>
      </c>
      <c r="H2019" s="312"/>
      <c r="I2019" s="220" t="s">
        <v>38</v>
      </c>
      <c r="J2019" s="54">
        <f>SUM(J2018)</f>
        <v>13000000</v>
      </c>
      <c r="K2019" s="60"/>
      <c r="L2019" s="54">
        <f t="shared" ref="L2019:L2020" si="119">SUM(J2019:K2019)</f>
        <v>13000000</v>
      </c>
    </row>
    <row r="2020" spans="1:16" x14ac:dyDescent="0.2">
      <c r="B2020" s="49"/>
      <c r="C2020" s="503"/>
      <c r="D2020" s="503"/>
      <c r="E2020" s="584"/>
      <c r="F2020" s="311"/>
      <c r="G2020" s="47"/>
      <c r="H2020" s="312"/>
      <c r="I2020" s="229" t="s">
        <v>710</v>
      </c>
      <c r="J2020" s="60">
        <f>SUM(J2019)</f>
        <v>13000000</v>
      </c>
      <c r="K2020" s="60"/>
      <c r="L2020" s="199">
        <f t="shared" si="119"/>
        <v>13000000</v>
      </c>
    </row>
    <row r="2021" spans="1:16" x14ac:dyDescent="0.2">
      <c r="B2021" s="49"/>
      <c r="C2021" s="503"/>
      <c r="D2021" s="503"/>
      <c r="E2021" s="584"/>
      <c r="F2021" s="311"/>
      <c r="G2021" s="321"/>
      <c r="H2021" s="313"/>
      <c r="I2021" s="266"/>
      <c r="J2021" s="30"/>
      <c r="K2021" s="31"/>
      <c r="L2021" s="61"/>
    </row>
    <row r="2022" spans="1:16" s="196" customFormat="1" ht="15" x14ac:dyDescent="0.25">
      <c r="A2022" s="50"/>
      <c r="B2022" s="49"/>
      <c r="C2022" s="49">
        <v>620</v>
      </c>
      <c r="D2022" s="520"/>
      <c r="E2022" s="579"/>
      <c r="F2022" s="311"/>
      <c r="G2022" s="47"/>
      <c r="H2022" s="471"/>
      <c r="I2022" s="233" t="s">
        <v>105</v>
      </c>
      <c r="J2022" s="30"/>
      <c r="K2022" s="30"/>
      <c r="L2022" s="61"/>
      <c r="M2022" s="17"/>
      <c r="N2022" s="716"/>
      <c r="O2022" s="194"/>
      <c r="P2022" s="914"/>
    </row>
    <row r="2023" spans="1:16" ht="15" x14ac:dyDescent="0.25">
      <c r="A2023" s="711"/>
      <c r="B2023" s="646"/>
      <c r="D2023" s="520"/>
      <c r="E2023" s="579"/>
      <c r="F2023" s="311"/>
      <c r="G2023" s="47"/>
      <c r="H2023" s="315"/>
      <c r="I2023" s="233"/>
      <c r="J2023" s="30"/>
      <c r="K2023" s="30"/>
      <c r="L2023" s="61"/>
    </row>
    <row r="2024" spans="1:16" ht="15" x14ac:dyDescent="0.25">
      <c r="A2024" s="367"/>
      <c r="B2024" s="436"/>
      <c r="D2024" s="519"/>
      <c r="E2024" s="580"/>
      <c r="F2024" s="439"/>
      <c r="G2024" s="329"/>
      <c r="H2024" s="472"/>
      <c r="I2024" s="396" t="s">
        <v>412</v>
      </c>
      <c r="J2024" s="397"/>
      <c r="K2024" s="494"/>
      <c r="L2024" s="331"/>
    </row>
    <row r="2025" spans="1:16" ht="15" x14ac:dyDescent="0.25">
      <c r="A2025" s="367"/>
      <c r="B2025" s="436"/>
      <c r="D2025" s="519"/>
      <c r="E2025" s="580" t="s">
        <v>465</v>
      </c>
      <c r="F2025" s="439"/>
      <c r="G2025" s="329"/>
      <c r="H2025" s="472"/>
      <c r="I2025" s="398" t="s">
        <v>466</v>
      </c>
      <c r="J2025" s="399"/>
      <c r="K2025" s="486"/>
      <c r="L2025" s="400"/>
    </row>
    <row r="2026" spans="1:16" x14ac:dyDescent="0.2">
      <c r="A2026" s="367"/>
      <c r="B2026" s="436"/>
      <c r="C2026" s="436"/>
      <c r="D2026" s="521"/>
      <c r="E2026" s="582"/>
      <c r="F2026" s="441"/>
      <c r="G2026" s="321"/>
      <c r="H2026" s="311"/>
      <c r="I2026" s="266"/>
      <c r="J2026" s="31"/>
      <c r="K2026" s="30"/>
      <c r="L2026" s="61"/>
    </row>
    <row r="2027" spans="1:16" x14ac:dyDescent="0.2">
      <c r="A2027" s="367"/>
      <c r="B2027" s="436"/>
      <c r="C2027" s="436"/>
      <c r="D2027" s="521"/>
      <c r="E2027" s="582"/>
      <c r="F2027" s="441">
        <v>406</v>
      </c>
      <c r="G2027" s="230"/>
      <c r="H2027" s="470" t="s">
        <v>46</v>
      </c>
      <c r="I2027" s="289" t="s">
        <v>656</v>
      </c>
      <c r="J2027" s="59">
        <v>6078400</v>
      </c>
      <c r="K2027" s="59"/>
      <c r="L2027" s="59">
        <f>SUM(J2027:K2027)</f>
        <v>6078400</v>
      </c>
    </row>
    <row r="2028" spans="1:16" x14ac:dyDescent="0.2">
      <c r="A2028" s="367"/>
      <c r="B2028" s="436"/>
      <c r="C2028" s="436"/>
      <c r="D2028" s="785"/>
      <c r="E2028" s="582"/>
      <c r="F2028" s="441">
        <v>407</v>
      </c>
      <c r="G2028" s="230"/>
      <c r="H2028" s="470" t="s">
        <v>82</v>
      </c>
      <c r="I2028" s="267" t="s">
        <v>658</v>
      </c>
      <c r="J2028" s="59">
        <v>177000000</v>
      </c>
      <c r="K2028" s="59"/>
      <c r="L2028" s="59">
        <f t="shared" ref="L2028:L2030" si="120">SUM(J2028:K2028)</f>
        <v>177000000</v>
      </c>
    </row>
    <row r="2029" spans="1:16" x14ac:dyDescent="0.2">
      <c r="A2029" s="711"/>
      <c r="B2029" s="646"/>
      <c r="C2029" s="646"/>
      <c r="D2029" s="625"/>
      <c r="E2029" s="626"/>
      <c r="F2029" s="441"/>
      <c r="G2029" s="55" t="s">
        <v>37</v>
      </c>
      <c r="H2029" s="313"/>
      <c r="I2029" s="220" t="s">
        <v>38</v>
      </c>
      <c r="J2029" s="59">
        <f>SUM(J2027:J2028)</f>
        <v>183078400</v>
      </c>
      <c r="K2029" s="60"/>
      <c r="L2029" s="59">
        <f t="shared" si="120"/>
        <v>183078400</v>
      </c>
    </row>
    <row r="2030" spans="1:16" x14ac:dyDescent="0.2">
      <c r="B2030" s="49"/>
      <c r="D2030" s="520"/>
      <c r="E2030" s="579"/>
      <c r="F2030" s="441"/>
      <c r="G2030" s="230"/>
      <c r="H2030" s="470"/>
      <c r="I2030" s="229" t="s">
        <v>620</v>
      </c>
      <c r="J2030" s="60">
        <f>SUM(J2029)</f>
        <v>183078400</v>
      </c>
      <c r="K2030" s="60"/>
      <c r="L2030" s="60">
        <f t="shared" si="120"/>
        <v>183078400</v>
      </c>
    </row>
    <row r="2031" spans="1:16" x14ac:dyDescent="0.2">
      <c r="A2031" s="367"/>
      <c r="B2031" s="436"/>
      <c r="C2031" s="436"/>
      <c r="D2031" s="521"/>
      <c r="E2031" s="582"/>
      <c r="F2031" s="442"/>
      <c r="G2031" s="230"/>
      <c r="H2031" s="470"/>
      <c r="I2031" s="18"/>
      <c r="J2031" s="30"/>
      <c r="K2031" s="31"/>
      <c r="L2031" s="61"/>
    </row>
    <row r="2032" spans="1:16" x14ac:dyDescent="0.2">
      <c r="A2032" s="367"/>
      <c r="B2032" s="436"/>
      <c r="C2032" s="436"/>
      <c r="D2032" s="785"/>
      <c r="E2032" s="582"/>
      <c r="F2032" s="311"/>
      <c r="G2032" s="47"/>
      <c r="H2032" s="479"/>
      <c r="I2032" s="287" t="s">
        <v>105</v>
      </c>
      <c r="J2032" s="326"/>
      <c r="K2032" s="326"/>
      <c r="L2032" s="57"/>
    </row>
    <row r="2033" spans="1:12" ht="15" x14ac:dyDescent="0.25">
      <c r="A2033" s="367"/>
      <c r="B2033" s="436"/>
      <c r="C2033" s="436"/>
      <c r="D2033" s="785"/>
      <c r="E2033" s="582"/>
      <c r="F2033" s="311"/>
      <c r="G2033" s="230"/>
      <c r="H2033" s="315"/>
      <c r="I2033" s="18"/>
      <c r="J2033" s="30"/>
      <c r="K2033" s="31"/>
      <c r="L2033" s="61"/>
    </row>
    <row r="2034" spans="1:12" ht="33.75" x14ac:dyDescent="0.2">
      <c r="A2034" s="367"/>
      <c r="B2034" s="436"/>
      <c r="C2034" s="436"/>
      <c r="D2034" s="785"/>
      <c r="E2034" s="581" t="s">
        <v>240</v>
      </c>
      <c r="F2034" s="391"/>
      <c r="G2034" s="495"/>
      <c r="H2034" s="391"/>
      <c r="I2034" s="496" t="s">
        <v>801</v>
      </c>
      <c r="J2034" s="384"/>
      <c r="K2034" s="385"/>
      <c r="L2034" s="386"/>
    </row>
    <row r="2035" spans="1:12" x14ac:dyDescent="0.2">
      <c r="A2035" s="367"/>
      <c r="B2035" s="436"/>
      <c r="C2035" s="436"/>
      <c r="D2035" s="785"/>
      <c r="E2035" s="582"/>
      <c r="F2035" s="311">
        <v>408</v>
      </c>
      <c r="G2035" s="47"/>
      <c r="H2035" s="470" t="s">
        <v>270</v>
      </c>
      <c r="I2035" s="270" t="s">
        <v>20</v>
      </c>
      <c r="J2035" s="54">
        <v>30001000</v>
      </c>
      <c r="K2035" s="344"/>
      <c r="L2035" s="54">
        <f>SUM(J2035+K2035)</f>
        <v>30001000</v>
      </c>
    </row>
    <row r="2036" spans="1:12" x14ac:dyDescent="0.2">
      <c r="A2036" s="367"/>
      <c r="B2036" s="436"/>
      <c r="C2036" s="436"/>
      <c r="D2036" s="785"/>
      <c r="E2036" s="582"/>
      <c r="F2036" s="311"/>
      <c r="G2036" s="55" t="s">
        <v>37</v>
      </c>
      <c r="H2036" s="312"/>
      <c r="I2036" s="220" t="s">
        <v>38</v>
      </c>
      <c r="J2036" s="54">
        <f>SUM(J2038-J2037)</f>
        <v>30000000</v>
      </c>
      <c r="K2036" s="344"/>
      <c r="L2036" s="54">
        <f>SUM(J2036+K2036)</f>
        <v>30000000</v>
      </c>
    </row>
    <row r="2037" spans="1:12" x14ac:dyDescent="0.2">
      <c r="A2037" s="367"/>
      <c r="B2037" s="436"/>
      <c r="C2037" s="436"/>
      <c r="D2037" s="521"/>
      <c r="E2037" s="582"/>
      <c r="F2037" s="311"/>
      <c r="G2037" s="47" t="s">
        <v>113</v>
      </c>
      <c r="H2037" s="311"/>
      <c r="I2037" s="270" t="s">
        <v>280</v>
      </c>
      <c r="J2037" s="54">
        <v>1000</v>
      </c>
      <c r="K2037" s="344"/>
      <c r="L2037" s="54">
        <f>SUM(J2037+K2037)</f>
        <v>1000</v>
      </c>
    </row>
    <row r="2038" spans="1:12" x14ac:dyDescent="0.2">
      <c r="A2038" s="367"/>
      <c r="B2038" s="436"/>
      <c r="C2038" s="436"/>
      <c r="D2038" s="521"/>
      <c r="E2038" s="582"/>
      <c r="F2038" s="441"/>
      <c r="G2038" s="47"/>
      <c r="H2038" s="313"/>
      <c r="I2038" s="307" t="s">
        <v>710</v>
      </c>
      <c r="J2038" s="199">
        <f>SUM(J2035)</f>
        <v>30001000</v>
      </c>
      <c r="K2038" s="344"/>
      <c r="L2038" s="60">
        <f>SUM(J2038:K2038)</f>
        <v>30001000</v>
      </c>
    </row>
    <row r="2039" spans="1:12" x14ac:dyDescent="0.2">
      <c r="A2039" s="367"/>
      <c r="B2039" s="436"/>
      <c r="C2039" s="436"/>
      <c r="D2039" s="521"/>
      <c r="E2039" s="582"/>
      <c r="F2039" s="311"/>
      <c r="G2039" s="230"/>
      <c r="H2039" s="311"/>
      <c r="I2039" s="18"/>
      <c r="J2039" s="30"/>
      <c r="K2039" s="31"/>
      <c r="L2039" s="61"/>
    </row>
    <row r="2040" spans="1:12" ht="33.75" x14ac:dyDescent="0.2">
      <c r="A2040" s="367"/>
      <c r="B2040" s="436"/>
      <c r="C2040" s="436"/>
      <c r="D2040" s="521"/>
      <c r="E2040" s="581" t="s">
        <v>240</v>
      </c>
      <c r="F2040" s="391"/>
      <c r="G2040" s="334"/>
      <c r="H2040" s="467"/>
      <c r="I2040" s="401" t="s">
        <v>750</v>
      </c>
      <c r="J2040" s="159"/>
      <c r="K2040" s="326"/>
      <c r="L2040" s="57"/>
    </row>
    <row r="2041" spans="1:12" x14ac:dyDescent="0.2">
      <c r="B2041" s="49"/>
      <c r="D2041" s="519"/>
      <c r="E2041" s="579"/>
      <c r="F2041" s="311">
        <v>409</v>
      </c>
      <c r="G2041" s="47"/>
      <c r="H2041" s="312" t="s">
        <v>46</v>
      </c>
      <c r="I2041" s="220" t="s">
        <v>10</v>
      </c>
      <c r="J2041" s="64">
        <v>600000</v>
      </c>
      <c r="K2041" s="60"/>
      <c r="L2041" s="59">
        <f>SUM(J2041+K2041)</f>
        <v>600000</v>
      </c>
    </row>
    <row r="2042" spans="1:12" ht="15" x14ac:dyDescent="0.25">
      <c r="B2042" s="49"/>
      <c r="D2042" s="519"/>
      <c r="E2042" s="579"/>
      <c r="F2042" s="311"/>
      <c r="G2042" s="55" t="s">
        <v>37</v>
      </c>
      <c r="H2042" s="315"/>
      <c r="I2042" s="220" t="s">
        <v>38</v>
      </c>
      <c r="J2042" s="64">
        <f>SUM(J2041)</f>
        <v>600000</v>
      </c>
      <c r="K2042" s="60"/>
      <c r="L2042" s="59">
        <f>SUM(J2042+K2042)</f>
        <v>600000</v>
      </c>
    </row>
    <row r="2043" spans="1:12" ht="15" x14ac:dyDescent="0.25">
      <c r="B2043" s="49"/>
      <c r="D2043" s="519"/>
      <c r="E2043" s="579"/>
      <c r="F2043" s="311"/>
      <c r="G2043" s="47"/>
      <c r="H2043" s="315"/>
      <c r="I2043" s="229" t="s">
        <v>710</v>
      </c>
      <c r="J2043" s="56">
        <f>SUM(J2042)</f>
        <v>600000</v>
      </c>
      <c r="K2043" s="60"/>
      <c r="L2043" s="60">
        <f>SUM(L2042)</f>
        <v>600000</v>
      </c>
    </row>
    <row r="2044" spans="1:12" ht="15" x14ac:dyDescent="0.25">
      <c r="B2044" s="49"/>
      <c r="D2044" s="519"/>
      <c r="E2044" s="579"/>
      <c r="F2044" s="311"/>
      <c r="G2044" s="47"/>
      <c r="H2044" s="315"/>
      <c r="I2044" s="197"/>
      <c r="J2044" s="387"/>
      <c r="K2044" s="30"/>
      <c r="L2044" s="61"/>
    </row>
    <row r="2045" spans="1:12" ht="15" x14ac:dyDescent="0.25">
      <c r="B2045" s="49"/>
      <c r="D2045" s="519"/>
      <c r="E2045" s="581" t="s">
        <v>240</v>
      </c>
      <c r="F2045" s="391"/>
      <c r="G2045" s="334"/>
      <c r="H2045" s="469"/>
      <c r="I2045" s="401" t="s">
        <v>749</v>
      </c>
      <c r="J2045" s="159"/>
      <c r="K2045" s="326"/>
      <c r="L2045" s="57"/>
    </row>
    <row r="2046" spans="1:12" x14ac:dyDescent="0.2">
      <c r="B2046" s="49"/>
      <c r="D2046" s="519"/>
      <c r="E2046" s="579"/>
      <c r="F2046" s="882" t="s">
        <v>965</v>
      </c>
      <c r="G2046" s="883"/>
      <c r="H2046" s="884" t="s">
        <v>46</v>
      </c>
      <c r="I2046" s="898" t="s">
        <v>10</v>
      </c>
      <c r="J2046" s="908">
        <v>400000</v>
      </c>
      <c r="K2046" s="909"/>
      <c r="L2046" s="887">
        <f>SUM(J2046:K2046)</f>
        <v>400000</v>
      </c>
    </row>
    <row r="2047" spans="1:12" x14ac:dyDescent="0.2">
      <c r="B2047" s="49"/>
      <c r="D2047" s="519"/>
      <c r="E2047" s="579"/>
      <c r="F2047" s="311">
        <v>410</v>
      </c>
      <c r="G2047" s="47"/>
      <c r="H2047" s="311">
        <v>511</v>
      </c>
      <c r="I2047" s="220" t="s">
        <v>20</v>
      </c>
      <c r="J2047" s="64">
        <v>10201000</v>
      </c>
      <c r="K2047" s="60"/>
      <c r="L2047" s="59">
        <f>SUM(J2047:K2047)</f>
        <v>10201000</v>
      </c>
    </row>
    <row r="2048" spans="1:12" x14ac:dyDescent="0.2">
      <c r="B2048" s="49"/>
      <c r="D2048" s="519"/>
      <c r="E2048" s="579"/>
      <c r="F2048" s="311">
        <v>411</v>
      </c>
      <c r="G2048" s="47"/>
      <c r="H2048" s="311">
        <v>541</v>
      </c>
      <c r="I2048" s="220" t="s">
        <v>25</v>
      </c>
      <c r="J2048" s="64">
        <v>2500000</v>
      </c>
      <c r="K2048" s="60"/>
      <c r="L2048" s="59">
        <f t="shared" ref="L2048:L2050" si="121">SUM(J2048:K2048)</f>
        <v>2500000</v>
      </c>
    </row>
    <row r="2049" spans="2:15" x14ac:dyDescent="0.2">
      <c r="B2049" s="49"/>
      <c r="D2049" s="519"/>
      <c r="E2049" s="579"/>
      <c r="F2049" s="311"/>
      <c r="G2049" s="55" t="s">
        <v>37</v>
      </c>
      <c r="H2049" s="311"/>
      <c r="I2049" s="220" t="s">
        <v>38</v>
      </c>
      <c r="J2049" s="64">
        <f>SUM(J2051-J2050)</f>
        <v>13100000</v>
      </c>
      <c r="K2049" s="60"/>
      <c r="L2049" s="59">
        <f t="shared" si="121"/>
        <v>13100000</v>
      </c>
    </row>
    <row r="2050" spans="2:15" x14ac:dyDescent="0.2">
      <c r="B2050" s="49"/>
      <c r="D2050" s="519"/>
      <c r="E2050" s="579"/>
      <c r="F2050" s="311"/>
      <c r="G2050" s="55" t="s">
        <v>113</v>
      </c>
      <c r="H2050" s="312"/>
      <c r="I2050" s="220" t="s">
        <v>418</v>
      </c>
      <c r="J2050" s="64">
        <v>1000</v>
      </c>
      <c r="K2050" s="60"/>
      <c r="L2050" s="59">
        <f t="shared" si="121"/>
        <v>1000</v>
      </c>
    </row>
    <row r="2051" spans="2:15" ht="15" x14ac:dyDescent="0.25">
      <c r="B2051" s="49"/>
      <c r="D2051" s="519"/>
      <c r="E2051" s="579"/>
      <c r="F2051" s="311"/>
      <c r="G2051" s="47"/>
      <c r="H2051" s="315"/>
      <c r="I2051" s="229" t="s">
        <v>710</v>
      </c>
      <c r="J2051" s="56">
        <f>SUM(J2046:J2048)</f>
        <v>13101000</v>
      </c>
      <c r="K2051" s="60"/>
      <c r="L2051" s="60">
        <f>SUM(J2051:K2051)</f>
        <v>13101000</v>
      </c>
    </row>
    <row r="2052" spans="2:15" x14ac:dyDescent="0.2">
      <c r="B2052" s="49"/>
      <c r="D2052" s="519"/>
      <c r="E2052" s="579"/>
      <c r="F2052" s="311"/>
      <c r="G2052" s="47"/>
      <c r="H2052" s="312"/>
      <c r="I2052" s="217"/>
      <c r="J2052" s="366"/>
      <c r="K2052" s="30"/>
      <c r="L2052" s="61"/>
    </row>
    <row r="2053" spans="2:15" ht="22.5" x14ac:dyDescent="0.2">
      <c r="B2053" s="49"/>
      <c r="D2053" s="519"/>
      <c r="E2053" s="581" t="s">
        <v>240</v>
      </c>
      <c r="F2053" s="391"/>
      <c r="G2053" s="334"/>
      <c r="H2053" s="391"/>
      <c r="I2053" s="401" t="s">
        <v>748</v>
      </c>
      <c r="J2053" s="159"/>
      <c r="K2053" s="326"/>
      <c r="L2053" s="57"/>
    </row>
    <row r="2054" spans="2:15" x14ac:dyDescent="0.2">
      <c r="B2054" s="49"/>
      <c r="D2054" s="519"/>
      <c r="E2054" s="579"/>
      <c r="F2054" s="311">
        <v>412</v>
      </c>
      <c r="G2054" s="47"/>
      <c r="H2054" s="311">
        <v>511</v>
      </c>
      <c r="I2054" s="220" t="s">
        <v>20</v>
      </c>
      <c r="J2054" s="64">
        <v>600000</v>
      </c>
      <c r="K2054" s="60"/>
      <c r="L2054" s="59">
        <f>SUM(J2054+K2054)</f>
        <v>600000</v>
      </c>
    </row>
    <row r="2055" spans="2:15" x14ac:dyDescent="0.2">
      <c r="B2055" s="49"/>
      <c r="D2055" s="519"/>
      <c r="E2055" s="579"/>
      <c r="F2055" s="311"/>
      <c r="G2055" s="55" t="s">
        <v>37</v>
      </c>
      <c r="H2055" s="312"/>
      <c r="I2055" s="220" t="s">
        <v>38</v>
      </c>
      <c r="J2055" s="64">
        <f>SUM(J2054)</f>
        <v>600000</v>
      </c>
      <c r="K2055" s="60"/>
      <c r="L2055" s="59">
        <f>SUM(J2054:K2054)</f>
        <v>600000</v>
      </c>
    </row>
    <row r="2056" spans="2:15" ht="15" x14ac:dyDescent="0.25">
      <c r="B2056" s="49"/>
      <c r="D2056" s="519"/>
      <c r="E2056" s="579"/>
      <c r="F2056" s="311"/>
      <c r="G2056" s="47"/>
      <c r="H2056" s="315"/>
      <c r="I2056" s="229" t="s">
        <v>710</v>
      </c>
      <c r="J2056" s="56">
        <f>SUM(J2055:J2055)</f>
        <v>600000</v>
      </c>
      <c r="K2056" s="60"/>
      <c r="L2056" s="60">
        <f>SUM(L2055:L2055)</f>
        <v>600000</v>
      </c>
    </row>
    <row r="2057" spans="2:15" x14ac:dyDescent="0.2">
      <c r="B2057" s="49"/>
      <c r="D2057" s="519"/>
      <c r="E2057" s="579"/>
      <c r="F2057" s="311"/>
      <c r="G2057" s="47"/>
      <c r="H2057" s="312"/>
      <c r="I2057" s="217"/>
      <c r="J2057" s="31"/>
      <c r="K2057" s="30"/>
      <c r="L2057" s="61"/>
    </row>
    <row r="2058" spans="2:15" ht="22.5" x14ac:dyDescent="0.2">
      <c r="B2058" s="49"/>
      <c r="D2058" s="519"/>
      <c r="E2058" s="581" t="s">
        <v>240</v>
      </c>
      <c r="F2058" s="391"/>
      <c r="G2058" s="334"/>
      <c r="H2058" s="393"/>
      <c r="I2058" s="339" t="s">
        <v>900</v>
      </c>
      <c r="J2058" s="127"/>
      <c r="K2058" s="80"/>
      <c r="L2058" s="260"/>
    </row>
    <row r="2059" spans="2:15" x14ac:dyDescent="0.2">
      <c r="B2059" s="49"/>
      <c r="D2059" s="519"/>
      <c r="E2059" s="579"/>
      <c r="F2059" s="311">
        <v>413</v>
      </c>
      <c r="G2059" s="47"/>
      <c r="H2059" s="311">
        <v>511</v>
      </c>
      <c r="I2059" s="220" t="s">
        <v>20</v>
      </c>
      <c r="J2059" s="64">
        <v>2000000</v>
      </c>
      <c r="K2059" s="60"/>
      <c r="L2059" s="59">
        <f>SUM(J2059:K2059)</f>
        <v>2000000</v>
      </c>
    </row>
    <row r="2060" spans="2:15" x14ac:dyDescent="0.2">
      <c r="B2060" s="49"/>
      <c r="D2060" s="519"/>
      <c r="E2060" s="579"/>
      <c r="F2060" s="311"/>
      <c r="G2060" s="55" t="s">
        <v>37</v>
      </c>
      <c r="H2060" s="312"/>
      <c r="I2060" s="220" t="s">
        <v>38</v>
      </c>
      <c r="J2060" s="64">
        <f>SUM(J2059:J2059)</f>
        <v>2000000</v>
      </c>
      <c r="K2060" s="60"/>
      <c r="L2060" s="59">
        <f>SUM(L2059:L2059)</f>
        <v>2000000</v>
      </c>
    </row>
    <row r="2061" spans="2:15" ht="15" x14ac:dyDescent="0.25">
      <c r="B2061" s="49"/>
      <c r="D2061" s="519"/>
      <c r="E2061" s="579"/>
      <c r="F2061" s="311"/>
      <c r="G2061" s="47"/>
      <c r="H2061" s="315"/>
      <c r="I2061" s="229" t="s">
        <v>710</v>
      </c>
      <c r="J2061" s="56">
        <f>SUM(J2060:J2060)</f>
        <v>2000000</v>
      </c>
      <c r="K2061" s="60"/>
      <c r="L2061" s="60">
        <f>SUM(L2060:L2060)</f>
        <v>2000000</v>
      </c>
    </row>
    <row r="2062" spans="2:15" x14ac:dyDescent="0.2">
      <c r="B2062" s="49"/>
      <c r="D2062" s="519"/>
      <c r="E2062" s="579"/>
      <c r="F2062" s="311"/>
      <c r="G2062" s="47"/>
      <c r="H2062" s="312"/>
      <c r="I2062" s="266"/>
      <c r="J2062" s="224"/>
      <c r="K2062" s="30"/>
      <c r="L2062" s="61"/>
    </row>
    <row r="2063" spans="2:15" x14ac:dyDescent="0.2">
      <c r="B2063" s="49"/>
      <c r="D2063" s="519"/>
      <c r="E2063" s="581" t="s">
        <v>240</v>
      </c>
      <c r="F2063" s="391"/>
      <c r="G2063" s="334"/>
      <c r="H2063" s="393"/>
      <c r="I2063" s="339" t="s">
        <v>747</v>
      </c>
      <c r="J2063" s="127"/>
      <c r="K2063" s="80"/>
      <c r="L2063" s="260"/>
    </row>
    <row r="2064" spans="2:15" x14ac:dyDescent="0.2">
      <c r="B2064" s="49"/>
      <c r="D2064" s="519"/>
      <c r="E2064" s="579"/>
      <c r="F2064" s="835">
        <v>414</v>
      </c>
      <c r="G2064" s="836"/>
      <c r="H2064" s="835">
        <v>511</v>
      </c>
      <c r="I2064" s="935" t="s">
        <v>20</v>
      </c>
      <c r="J2064" s="937">
        <v>5280000</v>
      </c>
      <c r="K2064" s="936"/>
      <c r="L2064" s="214">
        <f>SUM(J2064:K2064)</f>
        <v>5280000</v>
      </c>
      <c r="N2064" s="942"/>
      <c r="O2064" s="991"/>
    </row>
    <row r="2065" spans="2:15" x14ac:dyDescent="0.2">
      <c r="B2065" s="49"/>
      <c r="D2065" s="519"/>
      <c r="E2065" s="579"/>
      <c r="F2065" s="835"/>
      <c r="G2065" s="984" t="s">
        <v>37</v>
      </c>
      <c r="H2065" s="837"/>
      <c r="I2065" s="935" t="s">
        <v>38</v>
      </c>
      <c r="J2065" s="937">
        <f>SUM(J2064:J2064)</f>
        <v>5280000</v>
      </c>
      <c r="K2065" s="936"/>
      <c r="L2065" s="214">
        <f>SUM(L2064:L2064)</f>
        <v>5280000</v>
      </c>
      <c r="O2065" s="991"/>
    </row>
    <row r="2066" spans="2:15" ht="15" x14ac:dyDescent="0.25">
      <c r="B2066" s="49"/>
      <c r="D2066" s="519"/>
      <c r="E2066" s="579"/>
      <c r="F2066" s="835"/>
      <c r="G2066" s="836"/>
      <c r="H2066" s="985"/>
      <c r="I2066" s="986" t="s">
        <v>710</v>
      </c>
      <c r="J2066" s="993">
        <f>SUM(J2065:J2065)</f>
        <v>5280000</v>
      </c>
      <c r="K2066" s="936"/>
      <c r="L2066" s="936">
        <f>SUM(L2065:L2065)</f>
        <v>5280000</v>
      </c>
      <c r="O2066" s="991"/>
    </row>
    <row r="2067" spans="2:15" x14ac:dyDescent="0.2">
      <c r="B2067" s="49"/>
      <c r="D2067" s="519"/>
      <c r="E2067" s="579"/>
      <c r="F2067" s="311"/>
      <c r="G2067" s="47"/>
      <c r="H2067" s="312"/>
      <c r="I2067" s="26"/>
      <c r="J2067" s="224"/>
      <c r="K2067" s="30"/>
      <c r="L2067" s="61"/>
      <c r="O2067" s="991"/>
    </row>
    <row r="2068" spans="2:15" ht="22.5" x14ac:dyDescent="0.2">
      <c r="B2068" s="49"/>
      <c r="D2068" s="519"/>
      <c r="E2068" s="581" t="s">
        <v>240</v>
      </c>
      <c r="F2068" s="391"/>
      <c r="G2068" s="334"/>
      <c r="H2068" s="393"/>
      <c r="I2068" s="401" t="s">
        <v>800</v>
      </c>
      <c r="J2068" s="76"/>
      <c r="K2068" s="326"/>
      <c r="L2068" s="57"/>
      <c r="O2068" s="991"/>
    </row>
    <row r="2069" spans="2:15" x14ac:dyDescent="0.2">
      <c r="B2069" s="49"/>
      <c r="D2069" s="519"/>
      <c r="E2069" s="579"/>
      <c r="F2069" s="311">
        <v>415</v>
      </c>
      <c r="G2069" s="47"/>
      <c r="H2069" s="311">
        <v>511</v>
      </c>
      <c r="I2069" s="220" t="s">
        <v>20</v>
      </c>
      <c r="J2069" s="64">
        <v>1700000</v>
      </c>
      <c r="K2069" s="60"/>
      <c r="L2069" s="59">
        <f>SUM(J2069+K2069)</f>
        <v>1700000</v>
      </c>
    </row>
    <row r="2070" spans="2:15" x14ac:dyDescent="0.2">
      <c r="B2070" s="49"/>
      <c r="D2070" s="519"/>
      <c r="E2070" s="579"/>
      <c r="F2070" s="311"/>
      <c r="G2070" s="55" t="s">
        <v>37</v>
      </c>
      <c r="H2070" s="311"/>
      <c r="I2070" s="220" t="s">
        <v>38</v>
      </c>
      <c r="J2070" s="64">
        <f>SUM(J2069)</f>
        <v>1700000</v>
      </c>
      <c r="K2070" s="60"/>
      <c r="L2070" s="59">
        <f>SUM(J2069:K2069)</f>
        <v>1700000</v>
      </c>
      <c r="O2070" s="991"/>
    </row>
    <row r="2071" spans="2:15" x14ac:dyDescent="0.2">
      <c r="B2071" s="49"/>
      <c r="D2071" s="519"/>
      <c r="E2071" s="579"/>
      <c r="F2071" s="311"/>
      <c r="G2071" s="47"/>
      <c r="H2071" s="312"/>
      <c r="I2071" s="229" t="s">
        <v>710</v>
      </c>
      <c r="J2071" s="56">
        <f>SUM(J2070:J2070)</f>
        <v>1700000</v>
      </c>
      <c r="K2071" s="60"/>
      <c r="L2071" s="60">
        <f>SUM(L2070:L2070)</f>
        <v>1700000</v>
      </c>
      <c r="O2071" s="991"/>
    </row>
    <row r="2072" spans="2:15" x14ac:dyDescent="0.2">
      <c r="B2072" s="49"/>
      <c r="D2072" s="519"/>
      <c r="E2072" s="579"/>
      <c r="F2072" s="311"/>
      <c r="G2072" s="47"/>
      <c r="H2072" s="313"/>
      <c r="I2072" s="238"/>
      <c r="J2072" s="261"/>
      <c r="K2072" s="326"/>
      <c r="L2072" s="57"/>
      <c r="O2072" s="991"/>
    </row>
    <row r="2073" spans="2:15" ht="22.5" x14ac:dyDescent="0.2">
      <c r="B2073" s="49"/>
      <c r="D2073" s="519"/>
      <c r="E2073" s="581" t="s">
        <v>240</v>
      </c>
      <c r="F2073" s="391"/>
      <c r="G2073" s="334"/>
      <c r="H2073" s="393"/>
      <c r="I2073" s="406" t="s">
        <v>746</v>
      </c>
      <c r="J2073" s="76"/>
      <c r="K2073" s="326"/>
      <c r="L2073" s="57"/>
    </row>
    <row r="2074" spans="2:15" x14ac:dyDescent="0.2">
      <c r="B2074" s="49"/>
      <c r="D2074" s="519"/>
      <c r="E2074" s="579"/>
      <c r="F2074" s="311">
        <v>416</v>
      </c>
      <c r="G2074" s="47"/>
      <c r="H2074" s="470" t="s">
        <v>270</v>
      </c>
      <c r="I2074" s="220" t="s">
        <v>20</v>
      </c>
      <c r="J2074" s="59">
        <v>14280000</v>
      </c>
      <c r="K2074" s="60"/>
      <c r="L2074" s="59">
        <f>SUM(J2074:K2074)</f>
        <v>14280000</v>
      </c>
    </row>
    <row r="2075" spans="2:15" x14ac:dyDescent="0.2">
      <c r="B2075" s="49"/>
      <c r="D2075" s="519"/>
      <c r="E2075" s="579"/>
      <c r="F2075" s="311">
        <v>417</v>
      </c>
      <c r="G2075" s="47"/>
      <c r="H2075" s="311">
        <v>512</v>
      </c>
      <c r="I2075" s="220" t="s">
        <v>21</v>
      </c>
      <c r="J2075" s="64">
        <v>1000</v>
      </c>
      <c r="K2075" s="60"/>
      <c r="L2075" s="59">
        <f>SUM(J2075+K2075)</f>
        <v>1000</v>
      </c>
    </row>
    <row r="2076" spans="2:15" x14ac:dyDescent="0.2">
      <c r="B2076" s="49"/>
      <c r="D2076" s="519"/>
      <c r="E2076" s="579"/>
      <c r="F2076" s="311"/>
      <c r="G2076" s="55" t="s">
        <v>37</v>
      </c>
      <c r="H2076" s="311"/>
      <c r="I2076" s="220" t="s">
        <v>38</v>
      </c>
      <c r="J2076" s="64">
        <f>SUM(J2074:J2075)</f>
        <v>14281000</v>
      </c>
      <c r="K2076" s="60"/>
      <c r="L2076" s="59">
        <f>SUM(J2076:K2076)</f>
        <v>14281000</v>
      </c>
    </row>
    <row r="2077" spans="2:15" x14ac:dyDescent="0.2">
      <c r="B2077" s="49"/>
      <c r="D2077" s="519"/>
      <c r="E2077" s="579"/>
      <c r="F2077" s="311"/>
      <c r="G2077" s="47"/>
      <c r="H2077" s="312"/>
      <c r="I2077" s="229" t="s">
        <v>710</v>
      </c>
      <c r="J2077" s="56">
        <f>SUM(J2076:J2076)</f>
        <v>14281000</v>
      </c>
      <c r="K2077" s="60"/>
      <c r="L2077" s="60">
        <f>SUM(L2076:L2076)</f>
        <v>14281000</v>
      </c>
    </row>
    <row r="2078" spans="2:15" x14ac:dyDescent="0.2">
      <c r="B2078" s="49"/>
      <c r="D2078" s="519"/>
      <c r="E2078" s="579"/>
      <c r="F2078" s="311"/>
      <c r="G2078" s="47"/>
      <c r="H2078" s="313"/>
      <c r="I2078" s="18"/>
      <c r="J2078" s="224"/>
      <c r="K2078" s="30"/>
      <c r="L2078" s="61"/>
    </row>
    <row r="2079" spans="2:15" ht="22.5" x14ac:dyDescent="0.2">
      <c r="B2079" s="49"/>
      <c r="D2079" s="519"/>
      <c r="E2079" s="581" t="s">
        <v>240</v>
      </c>
      <c r="F2079" s="391"/>
      <c r="G2079" s="334"/>
      <c r="H2079" s="461"/>
      <c r="I2079" s="401" t="s">
        <v>799</v>
      </c>
      <c r="J2079" s="76"/>
      <c r="K2079" s="326"/>
      <c r="L2079" s="57"/>
    </row>
    <row r="2080" spans="2:15" x14ac:dyDescent="0.2">
      <c r="B2080" s="49"/>
      <c r="D2080" s="519"/>
      <c r="E2080" s="579"/>
      <c r="F2080" s="311">
        <v>418</v>
      </c>
      <c r="G2080" s="47"/>
      <c r="H2080" s="312" t="s">
        <v>270</v>
      </c>
      <c r="I2080" s="220" t="s">
        <v>20</v>
      </c>
      <c r="J2080" s="59">
        <v>12852000</v>
      </c>
      <c r="K2080" s="60"/>
      <c r="L2080" s="59">
        <f>SUM(J2080:K2080)</f>
        <v>12852000</v>
      </c>
    </row>
    <row r="2081" spans="2:14" x14ac:dyDescent="0.2">
      <c r="B2081" s="49"/>
      <c r="D2081" s="519"/>
      <c r="E2081" s="579"/>
      <c r="F2081" s="311">
        <v>419</v>
      </c>
      <c r="G2081" s="47"/>
      <c r="H2081" s="312" t="s">
        <v>570</v>
      </c>
      <c r="I2081" s="220" t="s">
        <v>21</v>
      </c>
      <c r="J2081" s="64">
        <v>1000</v>
      </c>
      <c r="K2081" s="60"/>
      <c r="L2081" s="59">
        <f>SUM(J2081+K2081)</f>
        <v>1000</v>
      </c>
    </row>
    <row r="2082" spans="2:14" x14ac:dyDescent="0.2">
      <c r="B2082" s="49"/>
      <c r="D2082" s="519"/>
      <c r="E2082" s="579"/>
      <c r="F2082" s="311"/>
      <c r="G2082" s="55" t="s">
        <v>37</v>
      </c>
      <c r="H2082" s="312"/>
      <c r="I2082" s="220" t="s">
        <v>38</v>
      </c>
      <c r="J2082" s="64">
        <f>SUM(J2084-J2083)</f>
        <v>2958700</v>
      </c>
      <c r="K2082" s="60"/>
      <c r="L2082" s="59">
        <f>SUM(J2082:K2082)</f>
        <v>2958700</v>
      </c>
    </row>
    <row r="2083" spans="2:14" x14ac:dyDescent="0.2">
      <c r="B2083" s="49"/>
      <c r="D2083" s="519"/>
      <c r="E2083" s="579"/>
      <c r="F2083" s="311"/>
      <c r="G2083" s="55" t="s">
        <v>113</v>
      </c>
      <c r="H2083" s="312"/>
      <c r="I2083" s="220" t="s">
        <v>280</v>
      </c>
      <c r="J2083" s="64">
        <v>9894300</v>
      </c>
      <c r="K2083" s="60"/>
      <c r="L2083" s="59">
        <f>SUM(J2083:K2083)</f>
        <v>9894300</v>
      </c>
    </row>
    <row r="2084" spans="2:14" ht="15" x14ac:dyDescent="0.25">
      <c r="B2084" s="49"/>
      <c r="D2084" s="519"/>
      <c r="E2084" s="579"/>
      <c r="F2084" s="311"/>
      <c r="G2084" s="47"/>
      <c r="H2084" s="315"/>
      <c r="I2084" s="229" t="s">
        <v>710</v>
      </c>
      <c r="J2084" s="56">
        <f>SUM(J2080:J2081)</f>
        <v>12853000</v>
      </c>
      <c r="K2084" s="60"/>
      <c r="L2084" s="60">
        <f>SUM(J2084:K2084)</f>
        <v>12853000</v>
      </c>
    </row>
    <row r="2085" spans="2:14" ht="15" x14ac:dyDescent="0.25">
      <c r="B2085" s="49"/>
      <c r="D2085" s="519"/>
      <c r="E2085" s="579"/>
      <c r="F2085" s="311"/>
      <c r="G2085" s="47"/>
      <c r="H2085" s="315"/>
      <c r="I2085" s="26"/>
      <c r="J2085" s="224"/>
      <c r="K2085" s="30"/>
      <c r="L2085" s="61"/>
    </row>
    <row r="2086" spans="2:14" x14ac:dyDescent="0.2">
      <c r="B2086" s="49"/>
      <c r="D2086" s="519"/>
      <c r="E2086" s="581" t="s">
        <v>240</v>
      </c>
      <c r="F2086" s="391"/>
      <c r="G2086" s="334"/>
      <c r="H2086" s="393"/>
      <c r="I2086" s="401" t="s">
        <v>745</v>
      </c>
      <c r="J2086" s="261"/>
      <c r="K2086" s="326"/>
      <c r="L2086" s="57"/>
    </row>
    <row r="2087" spans="2:14" x14ac:dyDescent="0.2">
      <c r="B2087" s="49"/>
      <c r="D2087" s="519"/>
      <c r="E2087" s="579"/>
      <c r="F2087" s="882" t="s">
        <v>964</v>
      </c>
      <c r="G2087" s="883"/>
      <c r="H2087" s="884" t="s">
        <v>46</v>
      </c>
      <c r="I2087" s="898" t="s">
        <v>10</v>
      </c>
      <c r="J2087" s="908">
        <v>400000</v>
      </c>
      <c r="K2087" s="909"/>
      <c r="L2087" s="887">
        <f>SUM(J2087:K2087)</f>
        <v>400000</v>
      </c>
    </row>
    <row r="2088" spans="2:14" x14ac:dyDescent="0.2">
      <c r="B2088" s="49"/>
      <c r="D2088" s="519"/>
      <c r="E2088" s="579"/>
      <c r="F2088" s="311">
        <v>420</v>
      </c>
      <c r="G2088" s="47"/>
      <c r="H2088" s="312" t="s">
        <v>270</v>
      </c>
      <c r="I2088" s="220" t="s">
        <v>20</v>
      </c>
      <c r="J2088" s="64">
        <v>86449329.590000004</v>
      </c>
      <c r="K2088" s="59"/>
      <c r="L2088" s="59">
        <f>SUM(J2088:K2088)</f>
        <v>86449329.590000004</v>
      </c>
    </row>
    <row r="2089" spans="2:14" x14ac:dyDescent="0.2">
      <c r="B2089" s="49"/>
      <c r="D2089" s="519"/>
      <c r="E2089" s="579"/>
      <c r="F2089" s="311"/>
      <c r="G2089" s="55" t="s">
        <v>37</v>
      </c>
      <c r="H2089" s="312"/>
      <c r="I2089" s="220" t="s">
        <v>38</v>
      </c>
      <c r="J2089" s="64">
        <f>SUM(J2091-J2090)</f>
        <v>10400000</v>
      </c>
      <c r="K2089" s="59"/>
      <c r="L2089" s="59">
        <f t="shared" ref="L2089:L2091" si="122">SUM(J2089:K2089)</f>
        <v>10400000</v>
      </c>
    </row>
    <row r="2090" spans="2:14" x14ac:dyDescent="0.2">
      <c r="B2090" s="49"/>
      <c r="D2090" s="519"/>
      <c r="E2090" s="579"/>
      <c r="F2090" s="311"/>
      <c r="G2090" s="55" t="s">
        <v>113</v>
      </c>
      <c r="H2090" s="312"/>
      <c r="I2090" s="220" t="s">
        <v>280</v>
      </c>
      <c r="J2090" s="64">
        <v>76449329.590000004</v>
      </c>
      <c r="K2090" s="59"/>
      <c r="L2090" s="59">
        <f t="shared" si="122"/>
        <v>76449329.590000004</v>
      </c>
    </row>
    <row r="2091" spans="2:14" ht="15" x14ac:dyDescent="0.25">
      <c r="B2091" s="49"/>
      <c r="D2091" s="519"/>
      <c r="E2091" s="579"/>
      <c r="F2091" s="311"/>
      <c r="G2091" s="47"/>
      <c r="H2091" s="315"/>
      <c r="I2091" s="229" t="s">
        <v>710</v>
      </c>
      <c r="J2091" s="56">
        <f>SUM(J2087:J2088)</f>
        <v>86849329.590000004</v>
      </c>
      <c r="K2091" s="60"/>
      <c r="L2091" s="60">
        <f t="shared" si="122"/>
        <v>86849329.590000004</v>
      </c>
    </row>
    <row r="2092" spans="2:14" ht="15" x14ac:dyDescent="0.25">
      <c r="B2092" s="49"/>
      <c r="D2092" s="519"/>
      <c r="E2092" s="579"/>
      <c r="F2092" s="311"/>
      <c r="G2092" s="47"/>
      <c r="H2092" s="315"/>
      <c r="I2092" s="18"/>
      <c r="J2092" s="224"/>
      <c r="K2092" s="30"/>
      <c r="L2092" s="61"/>
    </row>
    <row r="2093" spans="2:14" ht="22.5" x14ac:dyDescent="0.2">
      <c r="B2093" s="49"/>
      <c r="D2093" s="519"/>
      <c r="E2093" s="581" t="s">
        <v>240</v>
      </c>
      <c r="F2093" s="391"/>
      <c r="G2093" s="334"/>
      <c r="H2093" s="393"/>
      <c r="I2093" s="401" t="s">
        <v>744</v>
      </c>
      <c r="J2093" s="261"/>
      <c r="K2093" s="326"/>
      <c r="L2093" s="57"/>
    </row>
    <row r="2094" spans="2:14" x14ac:dyDescent="0.2">
      <c r="B2094" s="49"/>
      <c r="D2094" s="519"/>
      <c r="E2094" s="579"/>
      <c r="F2094" s="882" t="s">
        <v>963</v>
      </c>
      <c r="G2094" s="883"/>
      <c r="H2094" s="884" t="s">
        <v>46</v>
      </c>
      <c r="I2094" s="898" t="s">
        <v>10</v>
      </c>
      <c r="J2094" s="908">
        <v>400000</v>
      </c>
      <c r="K2094" s="909"/>
      <c r="L2094" s="887">
        <f>SUM(J2094:K2094)</f>
        <v>400000</v>
      </c>
    </row>
    <row r="2095" spans="2:14" x14ac:dyDescent="0.2">
      <c r="B2095" s="49"/>
      <c r="D2095" s="519"/>
      <c r="E2095" s="579"/>
      <c r="F2095" s="311">
        <v>421</v>
      </c>
      <c r="G2095" s="47"/>
      <c r="H2095" s="312" t="s">
        <v>270</v>
      </c>
      <c r="I2095" s="220" t="s">
        <v>20</v>
      </c>
      <c r="J2095" s="64">
        <v>132600000</v>
      </c>
      <c r="K2095" s="59"/>
      <c r="L2095" s="59">
        <f>SUM(J2095:K2095)</f>
        <v>132600000</v>
      </c>
    </row>
    <row r="2096" spans="2:14" x14ac:dyDescent="0.2">
      <c r="B2096" s="49"/>
      <c r="D2096" s="519"/>
      <c r="E2096" s="579"/>
      <c r="F2096" s="311"/>
      <c r="G2096" s="55" t="s">
        <v>37</v>
      </c>
      <c r="H2096" s="312"/>
      <c r="I2096" s="220" t="s">
        <v>38</v>
      </c>
      <c r="J2096" s="64">
        <f>SUM(J2098-J2097)</f>
        <v>3000000</v>
      </c>
      <c r="K2096" s="59"/>
      <c r="L2096" s="59">
        <f t="shared" ref="L2096:L2098" si="123">SUM(J2096:K2096)</f>
        <v>3000000</v>
      </c>
      <c r="N2096" s="17"/>
    </row>
    <row r="2097" spans="1:12" x14ac:dyDescent="0.2">
      <c r="B2097" s="49"/>
      <c r="D2097" s="519"/>
      <c r="E2097" s="579"/>
      <c r="F2097" s="311"/>
      <c r="G2097" s="55" t="s">
        <v>113</v>
      </c>
      <c r="H2097" s="312"/>
      <c r="I2097" s="220" t="s">
        <v>280</v>
      </c>
      <c r="J2097" s="64">
        <v>130000000</v>
      </c>
      <c r="K2097" s="59"/>
      <c r="L2097" s="59">
        <f t="shared" si="123"/>
        <v>130000000</v>
      </c>
    </row>
    <row r="2098" spans="1:12" ht="15" x14ac:dyDescent="0.25">
      <c r="B2098" s="49"/>
      <c r="D2098" s="519"/>
      <c r="E2098" s="579"/>
      <c r="F2098" s="311"/>
      <c r="G2098" s="47"/>
      <c r="H2098" s="315"/>
      <c r="I2098" s="229" t="s">
        <v>710</v>
      </c>
      <c r="J2098" s="56">
        <f>SUM(J2094:J2095)</f>
        <v>133000000</v>
      </c>
      <c r="K2098" s="60"/>
      <c r="L2098" s="60">
        <f t="shared" si="123"/>
        <v>133000000</v>
      </c>
    </row>
    <row r="2099" spans="1:12" ht="15" x14ac:dyDescent="0.25">
      <c r="B2099" s="49"/>
      <c r="D2099" s="519"/>
      <c r="E2099" s="579"/>
      <c r="F2099" s="311"/>
      <c r="G2099" s="47"/>
      <c r="H2099" s="315"/>
      <c r="I2099" s="18"/>
      <c r="J2099" s="224"/>
      <c r="K2099" s="30"/>
      <c r="L2099" s="61"/>
    </row>
    <row r="2100" spans="1:12" ht="22.5" x14ac:dyDescent="0.2">
      <c r="B2100" s="49"/>
      <c r="D2100" s="519"/>
      <c r="E2100" s="581" t="s">
        <v>240</v>
      </c>
      <c r="F2100" s="391"/>
      <c r="G2100" s="334"/>
      <c r="H2100" s="393"/>
      <c r="I2100" s="401" t="s">
        <v>743</v>
      </c>
      <c r="J2100" s="261"/>
      <c r="K2100" s="326"/>
      <c r="L2100" s="57"/>
    </row>
    <row r="2101" spans="1:12" x14ac:dyDescent="0.2">
      <c r="B2101" s="49"/>
      <c r="D2101" s="519"/>
      <c r="E2101" s="579"/>
      <c r="F2101" s="311">
        <v>422</v>
      </c>
      <c r="G2101" s="47"/>
      <c r="H2101" s="312" t="s">
        <v>270</v>
      </c>
      <c r="I2101" s="220" t="s">
        <v>20</v>
      </c>
      <c r="J2101" s="64">
        <v>3800000</v>
      </c>
      <c r="K2101" s="59"/>
      <c r="L2101" s="59">
        <f>SUM(J2101:K2101)</f>
        <v>3800000</v>
      </c>
    </row>
    <row r="2102" spans="1:12" x14ac:dyDescent="0.2">
      <c r="B2102" s="49"/>
      <c r="D2102" s="519"/>
      <c r="E2102" s="579"/>
      <c r="F2102" s="311"/>
      <c r="G2102" s="55" t="s">
        <v>37</v>
      </c>
      <c r="H2102" s="312"/>
      <c r="I2102" s="220" t="s">
        <v>38</v>
      </c>
      <c r="J2102" s="64">
        <f>SUM(J2104-J2103)</f>
        <v>1800000</v>
      </c>
      <c r="K2102" s="59"/>
      <c r="L2102" s="59">
        <f t="shared" ref="L2102:L2104" si="124">SUM(J2102:K2102)</f>
        <v>1800000</v>
      </c>
    </row>
    <row r="2103" spans="1:12" x14ac:dyDescent="0.2">
      <c r="B2103" s="49"/>
      <c r="D2103" s="519"/>
      <c r="E2103" s="579"/>
      <c r="F2103" s="311"/>
      <c r="G2103" s="55" t="s">
        <v>113</v>
      </c>
      <c r="H2103" s="340"/>
      <c r="I2103" s="220" t="s">
        <v>280</v>
      </c>
      <c r="J2103" s="64">
        <v>2000000</v>
      </c>
      <c r="K2103" s="59"/>
      <c r="L2103" s="59">
        <f t="shared" si="124"/>
        <v>2000000</v>
      </c>
    </row>
    <row r="2104" spans="1:12" ht="27" customHeight="1" x14ac:dyDescent="0.2">
      <c r="A2104" s="613"/>
      <c r="B2104" s="436"/>
      <c r="C2104" s="436"/>
      <c r="D2104" s="613"/>
      <c r="E2104" s="582"/>
      <c r="F2104" s="311"/>
      <c r="G2104" s="47"/>
      <c r="H2104" s="311"/>
      <c r="I2104" s="229" t="s">
        <v>710</v>
      </c>
      <c r="J2104" s="56">
        <f>SUM(J2101)</f>
        <v>3800000</v>
      </c>
      <c r="K2104" s="60"/>
      <c r="L2104" s="60">
        <f t="shared" si="124"/>
        <v>3800000</v>
      </c>
    </row>
    <row r="2105" spans="1:12" ht="15.75" customHeight="1" x14ac:dyDescent="0.2">
      <c r="A2105" s="613"/>
      <c r="B2105" s="436"/>
      <c r="C2105" s="436"/>
      <c r="D2105" s="613"/>
      <c r="E2105" s="582"/>
      <c r="F2105" s="311"/>
      <c r="G2105" s="47"/>
      <c r="H2105" s="311"/>
      <c r="I2105" s="269"/>
      <c r="J2105" s="224"/>
      <c r="K2105" s="30"/>
      <c r="L2105" s="61"/>
    </row>
    <row r="2106" spans="1:12" ht="27" customHeight="1" x14ac:dyDescent="0.2">
      <c r="A2106" s="613"/>
      <c r="B2106" s="436"/>
      <c r="C2106" s="436"/>
      <c r="D2106" s="613"/>
      <c r="E2106" s="581" t="s">
        <v>240</v>
      </c>
      <c r="F2106" s="391"/>
      <c r="G2106" s="334"/>
      <c r="H2106" s="393"/>
      <c r="I2106" s="401" t="s">
        <v>1043</v>
      </c>
      <c r="J2106" s="261"/>
      <c r="K2106" s="326"/>
      <c r="L2106" s="57"/>
    </row>
    <row r="2107" spans="1:12" ht="15.75" customHeight="1" x14ac:dyDescent="0.2">
      <c r="A2107" s="613"/>
      <c r="B2107" s="436"/>
      <c r="C2107" s="436"/>
      <c r="D2107" s="613"/>
      <c r="E2107" s="579"/>
      <c r="F2107" s="311" t="s">
        <v>1042</v>
      </c>
      <c r="G2107" s="47"/>
      <c r="H2107" s="312" t="s">
        <v>270</v>
      </c>
      <c r="I2107" s="220" t="s">
        <v>20</v>
      </c>
      <c r="J2107" s="64">
        <v>4000000</v>
      </c>
      <c r="K2107" s="59"/>
      <c r="L2107" s="59">
        <f>SUM(J2107:K2107)</f>
        <v>4000000</v>
      </c>
    </row>
    <row r="2108" spans="1:12" ht="15.75" customHeight="1" x14ac:dyDescent="0.2">
      <c r="A2108" s="613"/>
      <c r="B2108" s="436"/>
      <c r="C2108" s="436"/>
      <c r="D2108" s="613"/>
      <c r="E2108" s="579"/>
      <c r="F2108" s="311"/>
      <c r="G2108" s="55" t="s">
        <v>37</v>
      </c>
      <c r="H2108" s="312"/>
      <c r="I2108" s="220" t="s">
        <v>38</v>
      </c>
      <c r="J2108" s="64">
        <f>SUM(J2110-J2109)</f>
        <v>2000000</v>
      </c>
      <c r="K2108" s="59"/>
      <c r="L2108" s="59">
        <f t="shared" ref="L2108:L2110" si="125">SUM(J2108:K2108)</f>
        <v>2000000</v>
      </c>
    </row>
    <row r="2109" spans="1:12" ht="15.75" customHeight="1" x14ac:dyDescent="0.2">
      <c r="A2109" s="613"/>
      <c r="B2109" s="436"/>
      <c r="C2109" s="436"/>
      <c r="D2109" s="613"/>
      <c r="E2109" s="579"/>
      <c r="F2109" s="311"/>
      <c r="G2109" s="55" t="s">
        <v>113</v>
      </c>
      <c r="H2109" s="340"/>
      <c r="I2109" s="220" t="s">
        <v>280</v>
      </c>
      <c r="J2109" s="64">
        <v>2000000</v>
      </c>
      <c r="K2109" s="59"/>
      <c r="L2109" s="59">
        <f t="shared" si="125"/>
        <v>2000000</v>
      </c>
    </row>
    <row r="2110" spans="1:12" ht="15.75" customHeight="1" x14ac:dyDescent="0.2">
      <c r="A2110" s="613"/>
      <c r="B2110" s="436"/>
      <c r="C2110" s="436"/>
      <c r="D2110" s="613"/>
      <c r="E2110" s="582"/>
      <c r="F2110" s="311"/>
      <c r="G2110" s="47"/>
      <c r="H2110" s="311"/>
      <c r="I2110" s="229" t="s">
        <v>710</v>
      </c>
      <c r="J2110" s="56">
        <f>SUM(J2107)</f>
        <v>4000000</v>
      </c>
      <c r="K2110" s="60"/>
      <c r="L2110" s="60">
        <f t="shared" si="125"/>
        <v>4000000</v>
      </c>
    </row>
    <row r="2111" spans="1:12" ht="15.75" customHeight="1" x14ac:dyDescent="0.2">
      <c r="A2111" s="613"/>
      <c r="B2111" s="436"/>
      <c r="C2111" s="436"/>
      <c r="D2111" s="613"/>
      <c r="E2111" s="582"/>
      <c r="F2111" s="311"/>
      <c r="G2111" s="47"/>
      <c r="H2111" s="311"/>
      <c r="I2111" s="269"/>
      <c r="J2111" s="224"/>
      <c r="K2111" s="30"/>
      <c r="L2111" s="61"/>
    </row>
    <row r="2112" spans="1:12" x14ac:dyDescent="0.2">
      <c r="A2112" s="519"/>
      <c r="B2112" s="49"/>
      <c r="D2112" s="519"/>
      <c r="E2112" s="579"/>
      <c r="F2112" s="311"/>
      <c r="G2112" s="47"/>
      <c r="H2112" s="311"/>
      <c r="I2112" s="18"/>
      <c r="J2112" s="224"/>
      <c r="K2112" s="30"/>
      <c r="L2112" s="61"/>
    </row>
    <row r="2113" spans="1:12" ht="33.75" x14ac:dyDescent="0.2">
      <c r="A2113" s="519"/>
      <c r="B2113" s="49"/>
      <c r="D2113" s="519"/>
      <c r="E2113" s="581" t="s">
        <v>240</v>
      </c>
      <c r="F2113" s="391"/>
      <c r="G2113" s="334"/>
      <c r="H2113" s="497"/>
      <c r="I2113" s="336" t="s">
        <v>1044</v>
      </c>
      <c r="J2113" s="337"/>
      <c r="K2113" s="337"/>
      <c r="L2113" s="338"/>
    </row>
    <row r="2114" spans="1:12" x14ac:dyDescent="0.2">
      <c r="A2114" s="519"/>
      <c r="B2114" s="49"/>
      <c r="D2114" s="519"/>
      <c r="E2114" s="579"/>
      <c r="F2114" s="311" t="s">
        <v>1005</v>
      </c>
      <c r="G2114" s="230"/>
      <c r="H2114" s="470" t="s">
        <v>46</v>
      </c>
      <c r="I2114" s="225" t="s">
        <v>10</v>
      </c>
      <c r="J2114" s="54">
        <v>800000</v>
      </c>
      <c r="K2114" s="54"/>
      <c r="L2114" s="54">
        <f>SUM(J2114:K2114)</f>
        <v>800000</v>
      </c>
    </row>
    <row r="2115" spans="1:12" x14ac:dyDescent="0.2">
      <c r="A2115" s="519"/>
      <c r="B2115" s="49"/>
      <c r="D2115" s="519"/>
      <c r="E2115" s="579"/>
      <c r="F2115" s="311">
        <v>423</v>
      </c>
      <c r="G2115" s="47"/>
      <c r="H2115" s="312" t="s">
        <v>270</v>
      </c>
      <c r="I2115" s="289" t="s">
        <v>20</v>
      </c>
      <c r="J2115" s="54">
        <f>15000000+600000</f>
        <v>15600000</v>
      </c>
      <c r="K2115" s="54"/>
      <c r="L2115" s="54">
        <f>SUM(J2115:K2115)</f>
        <v>15600000</v>
      </c>
    </row>
    <row r="2116" spans="1:12" x14ac:dyDescent="0.2">
      <c r="A2116" s="519"/>
      <c r="B2116" s="49"/>
      <c r="D2116" s="519"/>
      <c r="E2116" s="579"/>
      <c r="F2116" s="311">
        <v>424</v>
      </c>
      <c r="G2116" s="47"/>
      <c r="H2116" s="786" t="s">
        <v>570</v>
      </c>
      <c r="I2116" s="273" t="s">
        <v>21</v>
      </c>
      <c r="J2116" s="54">
        <f>1700000+1800000</f>
        <v>3500000</v>
      </c>
      <c r="K2116" s="54"/>
      <c r="L2116" s="54">
        <f t="shared" ref="L2116:L2118" si="126">SUM(J2116:K2116)</f>
        <v>3500000</v>
      </c>
    </row>
    <row r="2117" spans="1:12" x14ac:dyDescent="0.2">
      <c r="E2117" s="579"/>
      <c r="F2117" s="311"/>
      <c r="G2117" s="47"/>
      <c r="H2117" s="667"/>
      <c r="I2117" s="229" t="s">
        <v>742</v>
      </c>
      <c r="J2117" s="199">
        <f>SUM(J2114:J2116)</f>
        <v>19900000</v>
      </c>
      <c r="K2117" s="199"/>
      <c r="L2117" s="60">
        <f t="shared" si="126"/>
        <v>19900000</v>
      </c>
    </row>
    <row r="2118" spans="1:12" x14ac:dyDescent="0.2">
      <c r="E2118" s="579"/>
      <c r="F2118" s="311"/>
      <c r="G2118" s="55" t="s">
        <v>37</v>
      </c>
      <c r="H2118" s="316"/>
      <c r="I2118" s="220" t="s">
        <v>38</v>
      </c>
      <c r="J2118" s="54">
        <f>SUM(J2117)</f>
        <v>19900000</v>
      </c>
      <c r="K2118" s="54"/>
      <c r="L2118" s="54">
        <f t="shared" si="126"/>
        <v>19900000</v>
      </c>
    </row>
    <row r="2119" spans="1:12" x14ac:dyDescent="0.2">
      <c r="E2119" s="579"/>
      <c r="F2119" s="311"/>
      <c r="G2119" s="55"/>
      <c r="H2119" s="316"/>
      <c r="I2119" s="777"/>
      <c r="J2119" s="762"/>
      <c r="K2119" s="762"/>
      <c r="L2119" s="763"/>
    </row>
    <row r="2120" spans="1:12" ht="22.5" x14ac:dyDescent="0.2">
      <c r="E2120" s="581" t="s">
        <v>240</v>
      </c>
      <c r="F2120" s="391"/>
      <c r="G2120" s="334"/>
      <c r="H2120" s="497"/>
      <c r="I2120" s="336" t="s">
        <v>1006</v>
      </c>
      <c r="J2120" s="762"/>
      <c r="K2120" s="762"/>
      <c r="L2120" s="763"/>
    </row>
    <row r="2121" spans="1:12" x14ac:dyDescent="0.2">
      <c r="E2121" s="579"/>
      <c r="F2121" s="311" t="s">
        <v>1016</v>
      </c>
      <c r="G2121" s="55"/>
      <c r="H2121" s="316" t="s">
        <v>80</v>
      </c>
      <c r="I2121" s="45" t="s">
        <v>9</v>
      </c>
      <c r="J2121" s="54">
        <v>1050000</v>
      </c>
      <c r="K2121" s="54"/>
      <c r="L2121" s="54">
        <f>SUM(J2121:K2121)</f>
        <v>1050000</v>
      </c>
    </row>
    <row r="2122" spans="1:12" x14ac:dyDescent="0.2">
      <c r="E2122" s="579"/>
      <c r="F2122" s="311" t="s">
        <v>1017</v>
      </c>
      <c r="G2122" s="55"/>
      <c r="H2122" s="316" t="s">
        <v>46</v>
      </c>
      <c r="I2122" s="225" t="s">
        <v>10</v>
      </c>
      <c r="J2122" s="54">
        <v>1800000</v>
      </c>
      <c r="K2122" s="54"/>
      <c r="L2122" s="54">
        <f t="shared" ref="L2122:L2123" si="127">SUM(J2122:K2122)</f>
        <v>1800000</v>
      </c>
    </row>
    <row r="2123" spans="1:12" x14ac:dyDescent="0.2">
      <c r="E2123" s="579"/>
      <c r="F2123" s="311" t="s">
        <v>1018</v>
      </c>
      <c r="G2123" s="55"/>
      <c r="H2123" s="316" t="s">
        <v>570</v>
      </c>
      <c r="I2123" s="273" t="s">
        <v>21</v>
      </c>
      <c r="J2123" s="54">
        <v>150000</v>
      </c>
      <c r="K2123" s="54"/>
      <c r="L2123" s="54">
        <f t="shared" si="127"/>
        <v>150000</v>
      </c>
    </row>
    <row r="2124" spans="1:12" x14ac:dyDescent="0.2">
      <c r="E2124" s="579"/>
      <c r="F2124" s="311"/>
      <c r="G2124" s="47"/>
      <c r="H2124" s="667"/>
      <c r="I2124" s="229" t="s">
        <v>742</v>
      </c>
      <c r="J2124" s="60">
        <f>SUM(J2121:J2123)</f>
        <v>3000000</v>
      </c>
      <c r="K2124" s="54"/>
      <c r="L2124" s="60">
        <f>SUM(L2121:L2123)</f>
        <v>3000000</v>
      </c>
    </row>
    <row r="2125" spans="1:12" x14ac:dyDescent="0.2">
      <c r="E2125" s="579"/>
      <c r="F2125" s="311"/>
      <c r="G2125" s="55" t="s">
        <v>37</v>
      </c>
      <c r="H2125" s="316"/>
      <c r="I2125" s="220" t="s">
        <v>38</v>
      </c>
      <c r="J2125" s="54">
        <f>SUM(J2124-J2126)</f>
        <v>100000</v>
      </c>
      <c r="K2125" s="54"/>
      <c r="L2125" s="54">
        <f>SUM(J2125:K2125)</f>
        <v>100000</v>
      </c>
    </row>
    <row r="2126" spans="1:12" x14ac:dyDescent="0.2">
      <c r="E2126" s="579"/>
      <c r="F2126" s="311"/>
      <c r="G2126" s="55" t="s">
        <v>589</v>
      </c>
      <c r="H2126" s="316"/>
      <c r="I2126" s="777" t="s">
        <v>1007</v>
      </c>
      <c r="J2126" s="54">
        <v>2900000</v>
      </c>
      <c r="K2126" s="54"/>
      <c r="L2126" s="54">
        <f>SUM(J2126:K2126)</f>
        <v>2900000</v>
      </c>
    </row>
    <row r="2127" spans="1:12" x14ac:dyDescent="0.2">
      <c r="A2127" s="663"/>
      <c r="B2127" s="664"/>
      <c r="C2127" s="664"/>
      <c r="D2127" s="665"/>
      <c r="E2127" s="626"/>
      <c r="F2127" s="311"/>
      <c r="G2127" s="47"/>
      <c r="H2127" s="316"/>
      <c r="I2127" s="309"/>
      <c r="J2127" s="388"/>
      <c r="K2127" s="388"/>
      <c r="L2127" s="389"/>
    </row>
    <row r="2128" spans="1:12" x14ac:dyDescent="0.2">
      <c r="A2128" s="656"/>
      <c r="B2128" s="657"/>
      <c r="C2128" s="657"/>
      <c r="D2128" s="658" t="s">
        <v>239</v>
      </c>
      <c r="E2128" s="617"/>
      <c r="F2128" s="799"/>
      <c r="G2128" s="659"/>
      <c r="H2128" s="692"/>
      <c r="I2128" s="787" t="s">
        <v>430</v>
      </c>
      <c r="J2128" s="788">
        <f>J2136+J2145+J2151+J2157+J2162+J2167+J2172+J2205+J2209+J2199</f>
        <v>103707668.02000001</v>
      </c>
      <c r="K2128" s="788"/>
      <c r="L2128" s="788">
        <f>L2136+L2145+L2151+L2157+L2162+L2167+L2172+L2205+L2209+L2199</f>
        <v>103707668.02000001</v>
      </c>
    </row>
    <row r="2129" spans="1:12" x14ac:dyDescent="0.2">
      <c r="A2129" s="517"/>
      <c r="B2129" s="185"/>
      <c r="C2129" s="503"/>
      <c r="D2129" s="503"/>
      <c r="E2129" s="584"/>
      <c r="F2129" s="780"/>
      <c r="G2129" s="666"/>
      <c r="H2129" s="312"/>
      <c r="I2129" s="789"/>
      <c r="J2129" s="378"/>
      <c r="K2129" s="378"/>
      <c r="L2129" s="680"/>
    </row>
    <row r="2130" spans="1:12" x14ac:dyDescent="0.2">
      <c r="A2130" s="519"/>
      <c r="B2130" s="49"/>
      <c r="C2130" s="503"/>
      <c r="D2130" s="503"/>
      <c r="E2130" s="583"/>
      <c r="F2130" s="493"/>
      <c r="G2130" s="669"/>
      <c r="H2130" s="460"/>
      <c r="I2130" s="671" t="s">
        <v>276</v>
      </c>
      <c r="J2130" s="672"/>
      <c r="K2130" s="672"/>
      <c r="L2130" s="673"/>
    </row>
    <row r="2131" spans="1:12" x14ac:dyDescent="0.2">
      <c r="A2131" s="519"/>
      <c r="B2131" s="49"/>
      <c r="C2131" s="185"/>
      <c r="D2131" s="517"/>
      <c r="E2131" s="580" t="s">
        <v>433</v>
      </c>
      <c r="F2131" s="493"/>
      <c r="G2131" s="669"/>
      <c r="H2131" s="439"/>
      <c r="I2131" s="675" t="s">
        <v>434</v>
      </c>
      <c r="J2131" s="714"/>
      <c r="K2131" s="714"/>
      <c r="L2131" s="715"/>
    </row>
    <row r="2132" spans="1:12" x14ac:dyDescent="0.2">
      <c r="A2132" s="519"/>
      <c r="B2132" s="49"/>
      <c r="D2132" s="519"/>
      <c r="E2132" s="579"/>
      <c r="F2132" s="311"/>
      <c r="G2132" s="47"/>
      <c r="H2132" s="313"/>
      <c r="I2132" s="266"/>
      <c r="J2132" s="192"/>
      <c r="K2132" s="192"/>
      <c r="L2132" s="327"/>
    </row>
    <row r="2133" spans="1:12" ht="15" x14ac:dyDescent="0.25">
      <c r="A2133" s="519"/>
      <c r="B2133" s="49"/>
      <c r="C2133" s="49">
        <v>160</v>
      </c>
      <c r="D2133" s="519"/>
      <c r="E2133" s="579"/>
      <c r="F2133" s="311"/>
      <c r="G2133" s="47"/>
      <c r="H2133" s="315"/>
      <c r="I2133" s="280" t="s">
        <v>288</v>
      </c>
      <c r="J2133" s="326"/>
      <c r="K2133" s="326"/>
      <c r="L2133" s="57"/>
    </row>
    <row r="2134" spans="1:12" ht="15" x14ac:dyDescent="0.25">
      <c r="A2134" s="519"/>
      <c r="B2134" s="49"/>
      <c r="E2134" s="579"/>
      <c r="F2134" s="311"/>
      <c r="G2134" s="47"/>
      <c r="H2134" s="315"/>
      <c r="I2134" s="28"/>
      <c r="J2134" s="30"/>
      <c r="K2134" s="30"/>
      <c r="L2134" s="61"/>
    </row>
    <row r="2135" spans="1:12" x14ac:dyDescent="0.2">
      <c r="A2135" s="519"/>
      <c r="B2135" s="49"/>
      <c r="D2135" s="519"/>
      <c r="E2135" s="579"/>
      <c r="F2135" s="311">
        <v>425</v>
      </c>
      <c r="G2135" s="47"/>
      <c r="H2135" s="312" t="s">
        <v>720</v>
      </c>
      <c r="I2135" s="270" t="s">
        <v>41</v>
      </c>
      <c r="J2135" s="59">
        <v>33555952.399999999</v>
      </c>
      <c r="K2135" s="59"/>
      <c r="L2135" s="59">
        <f>SUM(J2135+K2135)</f>
        <v>33555952.399999999</v>
      </c>
    </row>
    <row r="2136" spans="1:12" x14ac:dyDescent="0.2">
      <c r="A2136" s="519"/>
      <c r="B2136" s="49"/>
      <c r="D2136" s="519"/>
      <c r="E2136" s="579"/>
      <c r="F2136" s="311"/>
      <c r="G2136" s="47"/>
      <c r="H2136" s="313"/>
      <c r="I2136" s="114" t="s">
        <v>591</v>
      </c>
      <c r="J2136" s="326">
        <f>SUM(J2134:J2135)</f>
        <v>33555952.399999999</v>
      </c>
      <c r="K2136" s="326"/>
      <c r="L2136" s="57">
        <f t="shared" ref="L2136" si="128">SUM(L2134:L2135)</f>
        <v>33555952.399999999</v>
      </c>
    </row>
    <row r="2137" spans="1:12" x14ac:dyDescent="0.2">
      <c r="A2137" s="519"/>
      <c r="B2137" s="49"/>
      <c r="C2137" s="503"/>
      <c r="D2137" s="503"/>
      <c r="E2137" s="584"/>
      <c r="F2137" s="311"/>
      <c r="G2137" s="55" t="s">
        <v>37</v>
      </c>
      <c r="H2137" s="312"/>
      <c r="I2137" s="65" t="s">
        <v>38</v>
      </c>
      <c r="J2137" s="60">
        <f>SUM(J2136)</f>
        <v>33555952.399999999</v>
      </c>
      <c r="K2137" s="60"/>
      <c r="L2137" s="60">
        <f>SUM(J2137+K2137)</f>
        <v>33555952.399999999</v>
      </c>
    </row>
    <row r="2138" spans="1:12" x14ac:dyDescent="0.2">
      <c r="A2138" s="519"/>
      <c r="B2138" s="49"/>
      <c r="C2138" s="503"/>
      <c r="D2138" s="503"/>
      <c r="E2138" s="584"/>
      <c r="F2138" s="311"/>
      <c r="G2138" s="55"/>
      <c r="H2138" s="313"/>
      <c r="I2138" s="26"/>
      <c r="J2138" s="30"/>
      <c r="K2138" s="30"/>
      <c r="L2138" s="61"/>
    </row>
    <row r="2139" spans="1:12" x14ac:dyDescent="0.2">
      <c r="A2139" s="49"/>
      <c r="B2139" s="49"/>
      <c r="C2139" s="49">
        <v>160</v>
      </c>
      <c r="D2139" s="519"/>
      <c r="E2139" s="579"/>
      <c r="F2139" s="311"/>
      <c r="G2139" s="47"/>
      <c r="H2139" s="311"/>
      <c r="I2139" s="280" t="s">
        <v>288</v>
      </c>
      <c r="J2139" s="326"/>
      <c r="K2139" s="326"/>
      <c r="L2139" s="57"/>
    </row>
    <row r="2140" spans="1:12" x14ac:dyDescent="0.2">
      <c r="A2140" s="49"/>
      <c r="B2140" s="49"/>
      <c r="E2140" s="579"/>
      <c r="F2140" s="311"/>
      <c r="G2140" s="47"/>
      <c r="H2140" s="311"/>
      <c r="I2140" s="78"/>
      <c r="J2140" s="31"/>
      <c r="K2140" s="31"/>
      <c r="L2140" s="77"/>
    </row>
    <row r="2141" spans="1:12" x14ac:dyDescent="0.2">
      <c r="A2141" s="519"/>
      <c r="B2141" s="49"/>
      <c r="D2141" s="519"/>
      <c r="E2141" s="580"/>
      <c r="F2141" s="439"/>
      <c r="G2141" s="329"/>
      <c r="H2141" s="439"/>
      <c r="I2141" s="396" t="s">
        <v>273</v>
      </c>
      <c r="J2141" s="494"/>
      <c r="K2141" s="494"/>
      <c r="L2141" s="331"/>
    </row>
    <row r="2142" spans="1:12" ht="15" x14ac:dyDescent="0.25">
      <c r="A2142" s="519"/>
      <c r="B2142" s="49"/>
      <c r="D2142" s="519"/>
      <c r="E2142" s="580" t="s">
        <v>264</v>
      </c>
      <c r="F2142" s="439"/>
      <c r="G2142" s="329"/>
      <c r="H2142" s="472"/>
      <c r="I2142" s="398" t="s">
        <v>435</v>
      </c>
      <c r="J2142" s="399"/>
      <c r="K2142" s="399"/>
      <c r="L2142" s="402"/>
    </row>
    <row r="2143" spans="1:12" x14ac:dyDescent="0.2">
      <c r="A2143" s="519"/>
      <c r="B2143" s="49"/>
      <c r="D2143" s="519"/>
      <c r="E2143" s="579"/>
      <c r="F2143" s="311"/>
      <c r="G2143" s="47"/>
      <c r="H2143" s="312"/>
      <c r="I2143" s="28"/>
      <c r="J2143" s="187"/>
      <c r="K2143" s="31"/>
      <c r="L2143" s="77"/>
    </row>
    <row r="2144" spans="1:12" x14ac:dyDescent="0.2">
      <c r="A2144" s="519"/>
      <c r="B2144" s="49"/>
      <c r="D2144" s="519"/>
      <c r="E2144" s="579"/>
      <c r="F2144" s="311">
        <v>426</v>
      </c>
      <c r="G2144" s="47"/>
      <c r="H2144" s="312" t="s">
        <v>720</v>
      </c>
      <c r="I2144" s="270" t="s">
        <v>42</v>
      </c>
      <c r="J2144" s="59">
        <v>1800000</v>
      </c>
      <c r="K2144" s="59"/>
      <c r="L2144" s="59">
        <f>SUM(J2144+K2144)</f>
        <v>1800000</v>
      </c>
    </row>
    <row r="2145" spans="1:12" x14ac:dyDescent="0.2">
      <c r="A2145" s="519"/>
      <c r="B2145" s="49"/>
      <c r="D2145" s="519"/>
      <c r="E2145" s="579"/>
      <c r="F2145" s="311"/>
      <c r="G2145" s="47"/>
      <c r="H2145" s="319"/>
      <c r="I2145" s="114" t="s">
        <v>592</v>
      </c>
      <c r="J2145" s="326">
        <f>SUM(J2143:J2144)</f>
        <v>1800000</v>
      </c>
      <c r="K2145" s="326"/>
      <c r="L2145" s="57">
        <f t="shared" ref="L2145" si="129">SUM(L2143:L2144)</f>
        <v>1800000</v>
      </c>
    </row>
    <row r="2146" spans="1:12" x14ac:dyDescent="0.2">
      <c r="A2146" s="519"/>
      <c r="B2146" s="49"/>
      <c r="D2146" s="519"/>
      <c r="E2146" s="579"/>
      <c r="F2146" s="311"/>
      <c r="G2146" s="55" t="s">
        <v>37</v>
      </c>
      <c r="H2146" s="319"/>
      <c r="I2146" s="65" t="s">
        <v>38</v>
      </c>
      <c r="J2146" s="60">
        <f>SUM(J2145)</f>
        <v>1800000</v>
      </c>
      <c r="K2146" s="60"/>
      <c r="L2146" s="60">
        <f>SUM(J2146+K2146)</f>
        <v>1800000</v>
      </c>
    </row>
    <row r="2147" spans="1:12" x14ac:dyDescent="0.2">
      <c r="A2147" s="519"/>
      <c r="B2147" s="49"/>
      <c r="D2147" s="519"/>
      <c r="E2147" s="579"/>
      <c r="F2147" s="311"/>
      <c r="G2147" s="47"/>
      <c r="H2147" s="319"/>
      <c r="I2147" s="276"/>
      <c r="J2147" s="378"/>
      <c r="K2147" s="378"/>
      <c r="L2147" s="680"/>
    </row>
    <row r="2148" spans="1:12" ht="15" x14ac:dyDescent="0.25">
      <c r="A2148" s="519"/>
      <c r="B2148" s="49"/>
      <c r="D2148" s="519"/>
      <c r="E2148" s="579"/>
      <c r="F2148" s="311"/>
      <c r="G2148" s="47"/>
      <c r="H2148" s="317"/>
      <c r="I2148" s="18"/>
      <c r="J2148" s="192"/>
      <c r="K2148" s="192"/>
      <c r="L2148" s="327"/>
    </row>
    <row r="2149" spans="1:12" ht="22.5" x14ac:dyDescent="0.25">
      <c r="A2149" s="519"/>
      <c r="B2149" s="49"/>
      <c r="D2149" s="519"/>
      <c r="E2149" s="581" t="s">
        <v>239</v>
      </c>
      <c r="F2149" s="440"/>
      <c r="G2149" s="332"/>
      <c r="H2149" s="469"/>
      <c r="I2149" s="498" t="s">
        <v>798</v>
      </c>
      <c r="J2149" s="364"/>
      <c r="K2149" s="364"/>
      <c r="L2149" s="365"/>
    </row>
    <row r="2150" spans="1:12" x14ac:dyDescent="0.2">
      <c r="A2150" s="519"/>
      <c r="B2150" s="49"/>
      <c r="D2150" s="519"/>
      <c r="E2150" s="579"/>
      <c r="F2150" s="319">
        <v>427</v>
      </c>
      <c r="G2150" s="79"/>
      <c r="H2150" s="312" t="s">
        <v>415</v>
      </c>
      <c r="I2150" s="275" t="s">
        <v>169</v>
      </c>
      <c r="J2150" s="53">
        <v>22000000</v>
      </c>
      <c r="K2150" s="199"/>
      <c r="L2150" s="54">
        <f>SUM(J2150+K2150)</f>
        <v>22000000</v>
      </c>
    </row>
    <row r="2151" spans="1:12" x14ac:dyDescent="0.2">
      <c r="A2151" s="519"/>
      <c r="B2151" s="49"/>
      <c r="D2151" s="519"/>
      <c r="E2151" s="579"/>
      <c r="F2151" s="319"/>
      <c r="G2151" s="79"/>
      <c r="H2151" s="312"/>
      <c r="I2151" s="281" t="s">
        <v>710</v>
      </c>
      <c r="J2151" s="199">
        <f>SUM(J2150)</f>
        <v>22000000</v>
      </c>
      <c r="K2151" s="199"/>
      <c r="L2151" s="199">
        <f t="shared" ref="L2151" si="130">SUM(L2150)</f>
        <v>22000000</v>
      </c>
    </row>
    <row r="2152" spans="1:12" x14ac:dyDescent="0.2">
      <c r="B2152" s="49"/>
      <c r="D2152" s="520"/>
      <c r="E2152" s="579"/>
      <c r="F2152" s="319"/>
      <c r="G2152" s="318" t="s">
        <v>37</v>
      </c>
      <c r="H2152" s="313"/>
      <c r="I2152" s="216" t="s">
        <v>38</v>
      </c>
      <c r="J2152" s="199">
        <f>SUM(J2151)</f>
        <v>22000000</v>
      </c>
      <c r="K2152" s="199"/>
      <c r="L2152" s="199">
        <f>SUM(J2152+K2152)</f>
        <v>22000000</v>
      </c>
    </row>
    <row r="2153" spans="1:12" x14ac:dyDescent="0.2">
      <c r="B2153" s="49"/>
      <c r="D2153" s="520"/>
      <c r="E2153" s="579"/>
      <c r="F2153" s="311"/>
      <c r="G2153" s="55"/>
      <c r="H2153" s="312"/>
      <c r="I2153" s="26"/>
      <c r="J2153" s="30"/>
      <c r="K2153" s="30"/>
      <c r="L2153" s="61"/>
    </row>
    <row r="2154" spans="1:12" ht="22.5" x14ac:dyDescent="0.2">
      <c r="B2154" s="49"/>
      <c r="D2154" s="520"/>
      <c r="E2154" s="581" t="s">
        <v>239</v>
      </c>
      <c r="F2154" s="391"/>
      <c r="G2154" s="334"/>
      <c r="H2154" s="461"/>
      <c r="I2154" s="336" t="s">
        <v>797</v>
      </c>
      <c r="J2154" s="225"/>
      <c r="K2154" s="225"/>
      <c r="L2154" s="226"/>
    </row>
    <row r="2155" spans="1:12" x14ac:dyDescent="0.2">
      <c r="B2155" s="49"/>
      <c r="D2155" s="520"/>
      <c r="E2155" s="579"/>
      <c r="F2155" s="311">
        <v>428</v>
      </c>
      <c r="G2155" s="47"/>
      <c r="H2155" s="312" t="s">
        <v>270</v>
      </c>
      <c r="I2155" s="220" t="s">
        <v>20</v>
      </c>
      <c r="J2155" s="59">
        <v>2940000</v>
      </c>
      <c r="K2155" s="59"/>
      <c r="L2155" s="59">
        <f>SUM(J2155:K2155)</f>
        <v>2940000</v>
      </c>
    </row>
    <row r="2156" spans="1:12" x14ac:dyDescent="0.2">
      <c r="B2156" s="49"/>
      <c r="D2156" s="520"/>
      <c r="E2156" s="579"/>
      <c r="F2156" s="311"/>
      <c r="G2156" s="55" t="s">
        <v>37</v>
      </c>
      <c r="H2156" s="312"/>
      <c r="I2156" s="220" t="s">
        <v>38</v>
      </c>
      <c r="J2156" s="60">
        <f>SUM(J2155:J2155)</f>
        <v>2940000</v>
      </c>
      <c r="K2156" s="60"/>
      <c r="L2156" s="60">
        <f>SUM(J2155:K2155)</f>
        <v>2940000</v>
      </c>
    </row>
    <row r="2157" spans="1:12" x14ac:dyDescent="0.2">
      <c r="B2157" s="49"/>
      <c r="D2157" s="520"/>
      <c r="E2157" s="579"/>
      <c r="F2157" s="311"/>
      <c r="G2157" s="47"/>
      <c r="H2157" s="313"/>
      <c r="I2157" s="229" t="s">
        <v>710</v>
      </c>
      <c r="J2157" s="60">
        <f>SUM(J2156)</f>
        <v>2940000</v>
      </c>
      <c r="K2157" s="60"/>
      <c r="L2157" s="60">
        <f>SUM(L2156)</f>
        <v>2940000</v>
      </c>
    </row>
    <row r="2158" spans="1:12" x14ac:dyDescent="0.2">
      <c r="B2158" s="49"/>
      <c r="D2158" s="520"/>
      <c r="E2158" s="579"/>
      <c r="F2158" s="311"/>
      <c r="G2158" s="47"/>
      <c r="H2158" s="312"/>
      <c r="I2158" s="233"/>
      <c r="J2158" s="30"/>
      <c r="K2158" s="30"/>
      <c r="L2158" s="61"/>
    </row>
    <row r="2159" spans="1:12" ht="22.5" x14ac:dyDescent="0.2">
      <c r="B2159" s="49"/>
      <c r="D2159" s="520"/>
      <c r="E2159" s="581" t="s">
        <v>239</v>
      </c>
      <c r="F2159" s="391"/>
      <c r="G2159" s="334"/>
      <c r="H2159" s="393"/>
      <c r="I2159" s="336" t="s">
        <v>796</v>
      </c>
      <c r="J2159" s="225"/>
      <c r="K2159" s="225"/>
      <c r="L2159" s="226"/>
    </row>
    <row r="2160" spans="1:12" x14ac:dyDescent="0.2">
      <c r="B2160" s="49"/>
      <c r="D2160" s="520"/>
      <c r="E2160" s="579"/>
      <c r="F2160" s="311">
        <v>429</v>
      </c>
      <c r="G2160" s="47"/>
      <c r="H2160" s="312" t="s">
        <v>270</v>
      </c>
      <c r="I2160" s="220" t="s">
        <v>20</v>
      </c>
      <c r="J2160" s="59">
        <v>4740000</v>
      </c>
      <c r="K2160" s="59"/>
      <c r="L2160" s="59">
        <f>SUM(J2160:K2160)</f>
        <v>4740000</v>
      </c>
    </row>
    <row r="2161" spans="2:12" x14ac:dyDescent="0.2">
      <c r="D2161" s="49"/>
      <c r="E2161" s="579"/>
      <c r="F2161" s="311"/>
      <c r="G2161" s="55" t="s">
        <v>37</v>
      </c>
      <c r="H2161" s="312"/>
      <c r="I2161" s="220" t="s">
        <v>38</v>
      </c>
      <c r="J2161" s="59">
        <f>SUM(J2160:J2160)</f>
        <v>4740000</v>
      </c>
      <c r="K2161" s="59"/>
      <c r="L2161" s="59">
        <f>SUM(J2160:K2160)</f>
        <v>4740000</v>
      </c>
    </row>
    <row r="2162" spans="2:12" x14ac:dyDescent="0.2">
      <c r="D2162" s="49"/>
      <c r="E2162" s="584"/>
      <c r="F2162" s="311"/>
      <c r="G2162" s="47"/>
      <c r="H2162" s="312"/>
      <c r="I2162" s="229" t="s">
        <v>710</v>
      </c>
      <c r="J2162" s="60">
        <f>SUM(J2161)</f>
        <v>4740000</v>
      </c>
      <c r="K2162" s="60"/>
      <c r="L2162" s="60">
        <f>SUM(L2161)</f>
        <v>4740000</v>
      </c>
    </row>
    <row r="2163" spans="2:12" x14ac:dyDescent="0.2">
      <c r="D2163" s="49"/>
      <c r="E2163" s="579"/>
      <c r="F2163" s="311"/>
      <c r="G2163" s="47"/>
      <c r="H2163" s="312"/>
      <c r="I2163" s="18"/>
      <c r="J2163" s="80"/>
      <c r="K2163" s="80"/>
      <c r="L2163" s="260"/>
    </row>
    <row r="2164" spans="2:12" ht="22.5" x14ac:dyDescent="0.2">
      <c r="D2164" s="49"/>
      <c r="E2164" s="581" t="s">
        <v>239</v>
      </c>
      <c r="F2164" s="391"/>
      <c r="G2164" s="334"/>
      <c r="H2164" s="393"/>
      <c r="I2164" s="336" t="s">
        <v>795</v>
      </c>
      <c r="J2164" s="225"/>
      <c r="K2164" s="225"/>
      <c r="L2164" s="226"/>
    </row>
    <row r="2165" spans="2:12" x14ac:dyDescent="0.2">
      <c r="D2165" s="49"/>
      <c r="E2165" s="579"/>
      <c r="F2165" s="311">
        <v>430</v>
      </c>
      <c r="G2165" s="47"/>
      <c r="H2165" s="312" t="s">
        <v>270</v>
      </c>
      <c r="I2165" s="220" t="s">
        <v>20</v>
      </c>
      <c r="J2165" s="59">
        <v>180000</v>
      </c>
      <c r="K2165" s="59"/>
      <c r="L2165" s="59">
        <f>SUM(J2165:K2165)</f>
        <v>180000</v>
      </c>
    </row>
    <row r="2166" spans="2:12" x14ac:dyDescent="0.2">
      <c r="D2166" s="49"/>
      <c r="E2166" s="579"/>
      <c r="F2166" s="311"/>
      <c r="G2166" s="55" t="s">
        <v>37</v>
      </c>
      <c r="H2166" s="312"/>
      <c r="I2166" s="220" t="s">
        <v>38</v>
      </c>
      <c r="J2166" s="59">
        <f>SUM(J2165:J2165)</f>
        <v>180000</v>
      </c>
      <c r="K2166" s="59"/>
      <c r="L2166" s="59">
        <f>SUM(J2165:K2165)</f>
        <v>180000</v>
      </c>
    </row>
    <row r="2167" spans="2:12" x14ac:dyDescent="0.2">
      <c r="D2167" s="49"/>
      <c r="E2167" s="579"/>
      <c r="F2167" s="311"/>
      <c r="G2167" s="47"/>
      <c r="H2167" s="313"/>
      <c r="I2167" s="229" t="s">
        <v>710</v>
      </c>
      <c r="J2167" s="60">
        <f>SUM(J2166)</f>
        <v>180000</v>
      </c>
      <c r="K2167" s="60"/>
      <c r="L2167" s="60">
        <f>SUM(L2166)</f>
        <v>180000</v>
      </c>
    </row>
    <row r="2168" spans="2:12" x14ac:dyDescent="0.2">
      <c r="D2168" s="49"/>
      <c r="E2168" s="579"/>
      <c r="F2168" s="311"/>
      <c r="G2168" s="47"/>
      <c r="H2168" s="312"/>
      <c r="I2168" s="269"/>
      <c r="J2168" s="80"/>
      <c r="K2168" s="80"/>
      <c r="L2168" s="260"/>
    </row>
    <row r="2169" spans="2:12" ht="22.5" x14ac:dyDescent="0.2">
      <c r="D2169" s="49"/>
      <c r="E2169" s="581" t="s">
        <v>239</v>
      </c>
      <c r="F2169" s="391"/>
      <c r="G2169" s="334"/>
      <c r="H2169" s="393"/>
      <c r="I2169" s="336" t="s">
        <v>794</v>
      </c>
      <c r="J2169" s="225"/>
      <c r="K2169" s="225"/>
      <c r="L2169" s="226"/>
    </row>
    <row r="2170" spans="2:12" x14ac:dyDescent="0.2">
      <c r="D2170" s="49"/>
      <c r="E2170" s="579"/>
      <c r="F2170" s="311">
        <v>431</v>
      </c>
      <c r="G2170" s="47"/>
      <c r="H2170" s="312" t="s">
        <v>270</v>
      </c>
      <c r="I2170" s="220" t="s">
        <v>20</v>
      </c>
      <c r="J2170" s="59">
        <v>300000</v>
      </c>
      <c r="K2170" s="59"/>
      <c r="L2170" s="59">
        <f>SUM(J2170:K2170)</f>
        <v>300000</v>
      </c>
    </row>
    <row r="2171" spans="2:12" x14ac:dyDescent="0.2">
      <c r="D2171" s="49"/>
      <c r="E2171" s="579"/>
      <c r="F2171" s="311"/>
      <c r="G2171" s="55" t="s">
        <v>37</v>
      </c>
      <c r="H2171" s="312"/>
      <c r="I2171" s="220" t="s">
        <v>38</v>
      </c>
      <c r="J2171" s="59">
        <f>SUM(J2170:J2170)</f>
        <v>300000</v>
      </c>
      <c r="K2171" s="59"/>
      <c r="L2171" s="59">
        <f>SUM(J2170:K2170)</f>
        <v>300000</v>
      </c>
    </row>
    <row r="2172" spans="2:12" x14ac:dyDescent="0.2">
      <c r="D2172" s="49"/>
      <c r="E2172" s="579"/>
      <c r="F2172" s="311"/>
      <c r="G2172" s="47"/>
      <c r="H2172" s="312"/>
      <c r="I2172" s="229" t="s">
        <v>710</v>
      </c>
      <c r="J2172" s="60">
        <f>SUM(J2171)</f>
        <v>300000</v>
      </c>
      <c r="K2172" s="60"/>
      <c r="L2172" s="60">
        <f>SUM(L2171)</f>
        <v>300000</v>
      </c>
    </row>
    <row r="2173" spans="2:12" ht="15" customHeight="1" x14ac:dyDescent="0.2">
      <c r="D2173" s="49"/>
      <c r="E2173" s="579"/>
      <c r="F2173" s="311"/>
      <c r="G2173" s="47"/>
      <c r="H2173" s="312"/>
      <c r="I2173" s="269"/>
      <c r="J2173" s="80"/>
      <c r="K2173" s="80"/>
      <c r="L2173" s="260"/>
    </row>
    <row r="2174" spans="2:12" x14ac:dyDescent="0.2">
      <c r="B2174" s="49"/>
      <c r="D2174" s="49"/>
      <c r="E2174" s="580"/>
      <c r="F2174" s="439"/>
      <c r="G2174" s="329"/>
      <c r="H2174" s="460"/>
      <c r="I2174" s="396" t="s">
        <v>237</v>
      </c>
      <c r="J2174" s="494"/>
      <c r="K2174" s="494"/>
      <c r="L2174" s="331"/>
    </row>
    <row r="2175" spans="2:12" x14ac:dyDescent="0.2">
      <c r="B2175" s="49"/>
      <c r="D2175" s="49"/>
      <c r="E2175" s="580" t="s">
        <v>268</v>
      </c>
      <c r="F2175" s="439"/>
      <c r="G2175" s="329"/>
      <c r="H2175" s="460"/>
      <c r="I2175" s="398" t="s">
        <v>443</v>
      </c>
      <c r="J2175" s="486"/>
      <c r="K2175" s="486"/>
      <c r="L2175" s="400"/>
    </row>
    <row r="2176" spans="2:12" x14ac:dyDescent="0.2">
      <c r="B2176" s="696"/>
      <c r="D2176" s="49"/>
      <c r="E2176" s="579"/>
      <c r="F2176" s="311"/>
      <c r="G2176" s="47"/>
      <c r="H2176" s="313"/>
      <c r="I2176" s="26"/>
      <c r="J2176" s="31"/>
      <c r="K2176" s="31"/>
      <c r="L2176" s="77"/>
    </row>
    <row r="2177" spans="2:12" ht="22.5" x14ac:dyDescent="0.25">
      <c r="B2177" s="696"/>
      <c r="C2177" s="49">
        <v>160</v>
      </c>
      <c r="D2177" s="49"/>
      <c r="E2177" s="579"/>
      <c r="F2177" s="311"/>
      <c r="G2177" s="47"/>
      <c r="H2177" s="315"/>
      <c r="I2177" s="790" t="s">
        <v>292</v>
      </c>
      <c r="J2177" s="76"/>
      <c r="K2177" s="76"/>
      <c r="L2177" s="218"/>
    </row>
    <row r="2178" spans="2:12" ht="15" x14ac:dyDescent="0.25">
      <c r="D2178" s="49"/>
      <c r="E2178" s="579"/>
      <c r="F2178" s="311"/>
      <c r="G2178" s="47"/>
      <c r="H2178" s="315"/>
      <c r="I2178" s="233"/>
      <c r="J2178" s="31"/>
      <c r="K2178" s="31"/>
      <c r="L2178" s="77"/>
    </row>
    <row r="2179" spans="2:12" ht="15" x14ac:dyDescent="0.25">
      <c r="B2179" s="50">
        <v>1</v>
      </c>
      <c r="D2179" s="49"/>
      <c r="E2179" s="579"/>
      <c r="F2179" s="311"/>
      <c r="G2179" s="47"/>
      <c r="H2179" s="315"/>
      <c r="I2179" s="287" t="s">
        <v>53</v>
      </c>
      <c r="J2179" s="76"/>
      <c r="K2179" s="76"/>
      <c r="L2179" s="218"/>
    </row>
    <row r="2180" spans="2:12" ht="15" x14ac:dyDescent="0.25">
      <c r="D2180" s="49"/>
      <c r="E2180" s="579"/>
      <c r="F2180" s="311"/>
      <c r="G2180" s="47"/>
      <c r="H2180" s="315"/>
      <c r="I2180" s="233"/>
      <c r="J2180" s="250"/>
      <c r="K2180" s="250"/>
      <c r="L2180" s="251"/>
    </row>
    <row r="2181" spans="2:12" x14ac:dyDescent="0.2">
      <c r="D2181" s="49"/>
      <c r="E2181" s="579"/>
      <c r="F2181" s="311">
        <v>432</v>
      </c>
      <c r="G2181" s="47"/>
      <c r="H2181" s="311">
        <v>411</v>
      </c>
      <c r="I2181" s="220" t="s">
        <v>2</v>
      </c>
      <c r="J2181" s="59">
        <v>3945292.62</v>
      </c>
      <c r="K2181" s="59"/>
      <c r="L2181" s="59">
        <f>SUM(J2181:K2181)</f>
        <v>3945292.62</v>
      </c>
    </row>
    <row r="2182" spans="2:12" x14ac:dyDescent="0.2">
      <c r="D2182" s="49"/>
      <c r="E2182" s="579"/>
      <c r="F2182" s="311">
        <v>433</v>
      </c>
      <c r="G2182" s="47"/>
      <c r="H2182" s="311">
        <v>412</v>
      </c>
      <c r="I2182" s="270" t="s">
        <v>3</v>
      </c>
      <c r="J2182" s="59">
        <v>677000</v>
      </c>
      <c r="K2182" s="59"/>
      <c r="L2182" s="59">
        <f t="shared" ref="L2182:L2198" si="131">SUM(J2182:K2182)</f>
        <v>677000</v>
      </c>
    </row>
    <row r="2183" spans="2:12" x14ac:dyDescent="0.2">
      <c r="D2183" s="49"/>
      <c r="E2183" s="579"/>
      <c r="F2183" s="311">
        <v>434</v>
      </c>
      <c r="G2183" s="47"/>
      <c r="H2183" s="311">
        <v>414</v>
      </c>
      <c r="I2183" s="270" t="s">
        <v>34</v>
      </c>
      <c r="J2183" s="59">
        <v>686200</v>
      </c>
      <c r="K2183" s="59"/>
      <c r="L2183" s="59">
        <f t="shared" si="131"/>
        <v>686200</v>
      </c>
    </row>
    <row r="2184" spans="2:12" x14ac:dyDescent="0.2">
      <c r="D2184" s="49"/>
      <c r="E2184" s="579"/>
      <c r="F2184" s="311">
        <v>435</v>
      </c>
      <c r="G2184" s="47"/>
      <c r="H2184" s="311">
        <v>415</v>
      </c>
      <c r="I2184" s="270" t="s">
        <v>5</v>
      </c>
      <c r="J2184" s="59">
        <f>119400+25000</f>
        <v>144400</v>
      </c>
      <c r="K2184" s="59"/>
      <c r="L2184" s="59">
        <f t="shared" si="131"/>
        <v>144400</v>
      </c>
    </row>
    <row r="2185" spans="2:12" x14ac:dyDescent="0.2">
      <c r="D2185" s="49"/>
      <c r="E2185" s="579"/>
      <c r="F2185" s="311">
        <v>436</v>
      </c>
      <c r="G2185" s="47"/>
      <c r="H2185" s="311">
        <v>421</v>
      </c>
      <c r="I2185" s="270" t="s">
        <v>7</v>
      </c>
      <c r="J2185" s="59">
        <v>4218740</v>
      </c>
      <c r="K2185" s="59"/>
      <c r="L2185" s="59">
        <f t="shared" si="131"/>
        <v>4218740</v>
      </c>
    </row>
    <row r="2186" spans="2:12" x14ac:dyDescent="0.2">
      <c r="D2186" s="49"/>
      <c r="E2186" s="579"/>
      <c r="F2186" s="311">
        <v>437</v>
      </c>
      <c r="G2186" s="47"/>
      <c r="H2186" s="311">
        <v>422</v>
      </c>
      <c r="I2186" s="220" t="s">
        <v>8</v>
      </c>
      <c r="J2186" s="59">
        <v>444000</v>
      </c>
      <c r="K2186" s="59"/>
      <c r="L2186" s="59">
        <f t="shared" si="131"/>
        <v>444000</v>
      </c>
    </row>
    <row r="2187" spans="2:12" x14ac:dyDescent="0.2">
      <c r="D2187" s="49"/>
      <c r="E2187" s="579"/>
      <c r="F2187" s="311">
        <v>438</v>
      </c>
      <c r="G2187" s="47"/>
      <c r="H2187" s="311">
        <v>423</v>
      </c>
      <c r="I2187" s="220" t="s">
        <v>9</v>
      </c>
      <c r="J2187" s="59">
        <f>8603200-300000</f>
        <v>8303200</v>
      </c>
      <c r="K2187" s="59"/>
      <c r="L2187" s="59">
        <f t="shared" si="131"/>
        <v>8303200</v>
      </c>
    </row>
    <row r="2188" spans="2:12" x14ac:dyDescent="0.2">
      <c r="D2188" s="49"/>
      <c r="E2188" s="579"/>
      <c r="F2188" s="311">
        <v>439</v>
      </c>
      <c r="G2188" s="47"/>
      <c r="H2188" s="311">
        <v>424</v>
      </c>
      <c r="I2188" s="220" t="s">
        <v>10</v>
      </c>
      <c r="J2188" s="59">
        <v>765500</v>
      </c>
      <c r="K2188" s="59"/>
      <c r="L2188" s="59">
        <f t="shared" si="131"/>
        <v>765500</v>
      </c>
    </row>
    <row r="2189" spans="2:12" x14ac:dyDescent="0.2">
      <c r="D2189" s="49"/>
      <c r="E2189" s="579"/>
      <c r="F2189" s="311">
        <v>440</v>
      </c>
      <c r="G2189" s="47"/>
      <c r="H2189" s="311">
        <v>425</v>
      </c>
      <c r="I2189" s="220" t="s">
        <v>11</v>
      </c>
      <c r="J2189" s="59">
        <f>7982233+250000</f>
        <v>8232233</v>
      </c>
      <c r="K2189" s="59"/>
      <c r="L2189" s="59">
        <f t="shared" si="131"/>
        <v>8232233</v>
      </c>
    </row>
    <row r="2190" spans="2:12" x14ac:dyDescent="0.2">
      <c r="D2190" s="49"/>
      <c r="E2190" s="579"/>
      <c r="F2190" s="311">
        <v>441</v>
      </c>
      <c r="G2190" s="47"/>
      <c r="H2190" s="311">
        <v>426</v>
      </c>
      <c r="I2190" s="220" t="s">
        <v>35</v>
      </c>
      <c r="J2190" s="59">
        <v>2005000</v>
      </c>
      <c r="K2190" s="59"/>
      <c r="L2190" s="59">
        <f t="shared" si="131"/>
        <v>2005000</v>
      </c>
    </row>
    <row r="2191" spans="2:12" x14ac:dyDescent="0.2">
      <c r="D2191" s="49"/>
      <c r="E2191" s="579"/>
      <c r="F2191" s="311">
        <v>442</v>
      </c>
      <c r="G2191" s="47"/>
      <c r="H2191" s="311">
        <v>441</v>
      </c>
      <c r="I2191" s="220" t="s">
        <v>13</v>
      </c>
      <c r="J2191" s="59">
        <v>20000</v>
      </c>
      <c r="K2191" s="59"/>
      <c r="L2191" s="59">
        <f t="shared" si="131"/>
        <v>20000</v>
      </c>
    </row>
    <row r="2192" spans="2:12" x14ac:dyDescent="0.2">
      <c r="D2192" s="49"/>
      <c r="E2192" s="579"/>
      <c r="F2192" s="311">
        <v>443</v>
      </c>
      <c r="G2192" s="47"/>
      <c r="H2192" s="311">
        <v>444</v>
      </c>
      <c r="I2192" s="220" t="s">
        <v>14</v>
      </c>
      <c r="J2192" s="59">
        <v>40000</v>
      </c>
      <c r="K2192" s="59"/>
      <c r="L2192" s="59">
        <f t="shared" si="131"/>
        <v>40000</v>
      </c>
    </row>
    <row r="2193" spans="3:12" x14ac:dyDescent="0.2">
      <c r="D2193" s="49"/>
      <c r="E2193" s="579"/>
      <c r="F2193" s="311">
        <v>444</v>
      </c>
      <c r="G2193" s="47"/>
      <c r="H2193" s="311">
        <v>465</v>
      </c>
      <c r="I2193" s="220" t="s">
        <v>167</v>
      </c>
      <c r="J2193" s="59">
        <v>465150</v>
      </c>
      <c r="K2193" s="59"/>
      <c r="L2193" s="59">
        <f t="shared" si="131"/>
        <v>465150</v>
      </c>
    </row>
    <row r="2194" spans="3:12" x14ac:dyDescent="0.2">
      <c r="D2194" s="49"/>
      <c r="E2194" s="579"/>
      <c r="F2194" s="311">
        <v>445</v>
      </c>
      <c r="G2194" s="47"/>
      <c r="H2194" s="311">
        <v>482</v>
      </c>
      <c r="I2194" s="220" t="s">
        <v>54</v>
      </c>
      <c r="J2194" s="59">
        <v>333000</v>
      </c>
      <c r="K2194" s="59"/>
      <c r="L2194" s="59">
        <f t="shared" si="131"/>
        <v>333000</v>
      </c>
    </row>
    <row r="2195" spans="3:12" x14ac:dyDescent="0.2">
      <c r="D2195" s="49"/>
      <c r="E2195" s="579"/>
      <c r="F2195" s="311">
        <v>446</v>
      </c>
      <c r="G2195" s="47"/>
      <c r="H2195" s="311">
        <v>483</v>
      </c>
      <c r="I2195" s="270" t="s">
        <v>18</v>
      </c>
      <c r="J2195" s="59">
        <v>93000</v>
      </c>
      <c r="K2195" s="59"/>
      <c r="L2195" s="59">
        <f t="shared" si="131"/>
        <v>93000</v>
      </c>
    </row>
    <row r="2196" spans="3:12" x14ac:dyDescent="0.2">
      <c r="D2196" s="49"/>
      <c r="E2196" s="579"/>
      <c r="F2196" s="311">
        <v>447</v>
      </c>
      <c r="G2196" s="47"/>
      <c r="H2196" s="311">
        <v>511</v>
      </c>
      <c r="I2196" s="220" t="s">
        <v>20</v>
      </c>
      <c r="J2196" s="59">
        <v>160000</v>
      </c>
      <c r="K2196" s="59"/>
      <c r="L2196" s="59">
        <f t="shared" si="131"/>
        <v>160000</v>
      </c>
    </row>
    <row r="2197" spans="3:12" x14ac:dyDescent="0.2">
      <c r="D2197" s="49"/>
      <c r="E2197" s="579"/>
      <c r="F2197" s="311">
        <v>448</v>
      </c>
      <c r="G2197" s="47"/>
      <c r="H2197" s="311">
        <v>512</v>
      </c>
      <c r="I2197" s="220" t="s">
        <v>51</v>
      </c>
      <c r="J2197" s="59">
        <v>2159000</v>
      </c>
      <c r="K2197" s="59"/>
      <c r="L2197" s="59">
        <f t="shared" si="131"/>
        <v>2159000</v>
      </c>
    </row>
    <row r="2198" spans="3:12" x14ac:dyDescent="0.2">
      <c r="D2198" s="49"/>
      <c r="E2198" s="579"/>
      <c r="F2198" s="311"/>
      <c r="G2198" s="55" t="s">
        <v>37</v>
      </c>
      <c r="H2198" s="445"/>
      <c r="I2198" s="220" t="s">
        <v>38</v>
      </c>
      <c r="J2198" s="59">
        <f>SUM(J2199)</f>
        <v>32691715.620000001</v>
      </c>
      <c r="K2198" s="59"/>
      <c r="L2198" s="59">
        <f t="shared" si="131"/>
        <v>32691715.620000001</v>
      </c>
    </row>
    <row r="2199" spans="3:12" x14ac:dyDescent="0.2">
      <c r="D2199" s="49"/>
      <c r="E2199" s="579"/>
      <c r="F2199" s="311"/>
      <c r="G2199" s="47"/>
      <c r="H2199" s="445"/>
      <c r="I2199" s="229" t="s">
        <v>601</v>
      </c>
      <c r="J2199" s="60">
        <f>SUM(J2181:J2197)</f>
        <v>32691715.620000001</v>
      </c>
      <c r="K2199" s="60"/>
      <c r="L2199" s="60">
        <f>SUM(J2198:K2198)</f>
        <v>32691715.620000001</v>
      </c>
    </row>
    <row r="2200" spans="3:12" x14ac:dyDescent="0.2">
      <c r="D2200" s="49"/>
      <c r="E2200" s="579"/>
      <c r="F2200" s="311"/>
      <c r="G2200" s="47"/>
      <c r="H2200" s="313"/>
      <c r="I2200" s="78"/>
      <c r="J2200" s="31"/>
      <c r="K2200" s="31"/>
      <c r="L2200" s="77"/>
    </row>
    <row r="2201" spans="3:12" x14ac:dyDescent="0.2">
      <c r="C2201" s="49">
        <v>620</v>
      </c>
      <c r="D2201" s="49"/>
      <c r="E2201" s="581"/>
      <c r="F2201" s="801"/>
      <c r="G2201" s="334"/>
      <c r="H2201" s="391"/>
      <c r="I2201" s="339" t="s">
        <v>793</v>
      </c>
      <c r="J2201" s="80"/>
      <c r="K2201" s="80"/>
      <c r="L2201" s="260"/>
    </row>
    <row r="2202" spans="3:12" x14ac:dyDescent="0.2">
      <c r="D2202" s="49"/>
      <c r="E2202" s="579"/>
      <c r="F2202" s="445">
        <v>449</v>
      </c>
      <c r="G2202" s="234"/>
      <c r="H2202" s="311">
        <v>511</v>
      </c>
      <c r="I2202" s="277" t="s">
        <v>20</v>
      </c>
      <c r="J2202" s="64">
        <v>2000000</v>
      </c>
      <c r="K2202" s="60"/>
      <c r="L2202" s="59">
        <f>SUM(J2202:K2202)</f>
        <v>2000000</v>
      </c>
    </row>
    <row r="2203" spans="3:12" x14ac:dyDescent="0.2">
      <c r="D2203" s="49"/>
      <c r="E2203" s="579"/>
      <c r="F2203" s="445">
        <v>450</v>
      </c>
      <c r="G2203" s="234"/>
      <c r="H2203" s="311">
        <v>512</v>
      </c>
      <c r="I2203" s="220" t="s">
        <v>51</v>
      </c>
      <c r="J2203" s="64">
        <v>2000000</v>
      </c>
      <c r="K2203" s="60"/>
      <c r="L2203" s="59">
        <f t="shared" ref="L2203:L2205" si="132">SUM(J2203:K2203)</f>
        <v>2000000</v>
      </c>
    </row>
    <row r="2204" spans="3:12" x14ac:dyDescent="0.2">
      <c r="D2204" s="49"/>
      <c r="E2204" s="579"/>
      <c r="F2204" s="311"/>
      <c r="G2204" s="257" t="s">
        <v>37</v>
      </c>
      <c r="H2204" s="445"/>
      <c r="I2204" s="220" t="s">
        <v>38</v>
      </c>
      <c r="J2204" s="64">
        <f>SUM(J2202:J2203)</f>
        <v>4000000</v>
      </c>
      <c r="K2204" s="60"/>
      <c r="L2204" s="59">
        <f t="shared" si="132"/>
        <v>4000000</v>
      </c>
    </row>
    <row r="2205" spans="3:12" x14ac:dyDescent="0.2">
      <c r="D2205" s="49"/>
      <c r="E2205" s="579"/>
      <c r="F2205" s="311"/>
      <c r="G2205" s="47"/>
      <c r="H2205" s="311"/>
      <c r="I2205" s="235" t="s">
        <v>710</v>
      </c>
      <c r="J2205" s="60">
        <f>SUM(J2202:J2203)</f>
        <v>4000000</v>
      </c>
      <c r="K2205" s="60"/>
      <c r="L2205" s="60">
        <f t="shared" si="132"/>
        <v>4000000</v>
      </c>
    </row>
    <row r="2206" spans="3:12" x14ac:dyDescent="0.2">
      <c r="D2206" s="49"/>
      <c r="E2206" s="579"/>
      <c r="F2206" s="311"/>
      <c r="G2206" s="47"/>
      <c r="H2206" s="313"/>
      <c r="I2206" s="791"/>
      <c r="J2206" s="60"/>
      <c r="K2206" s="60"/>
      <c r="L2206" s="60"/>
    </row>
    <row r="2207" spans="3:12" x14ac:dyDescent="0.2">
      <c r="C2207" s="49">
        <v>620</v>
      </c>
      <c r="D2207" s="49"/>
      <c r="E2207" s="581"/>
      <c r="F2207" s="391"/>
      <c r="G2207" s="334"/>
      <c r="H2207" s="461"/>
      <c r="I2207" s="339" t="s">
        <v>792</v>
      </c>
      <c r="J2207" s="60"/>
      <c r="K2207" s="60"/>
      <c r="L2207" s="60"/>
    </row>
    <row r="2208" spans="3:12" x14ac:dyDescent="0.2">
      <c r="D2208" s="49"/>
      <c r="E2208" s="579"/>
      <c r="F2208" s="311">
        <v>451</v>
      </c>
      <c r="G2208" s="47"/>
      <c r="H2208" s="311">
        <v>511</v>
      </c>
      <c r="I2208" s="277" t="s">
        <v>20</v>
      </c>
      <c r="J2208" s="59">
        <v>1500000</v>
      </c>
      <c r="K2208" s="60"/>
      <c r="L2208" s="59">
        <f>SUM(J2208:K2208)</f>
        <v>1500000</v>
      </c>
    </row>
    <row r="2209" spans="1:16" x14ac:dyDescent="0.2">
      <c r="D2209" s="49"/>
      <c r="E2209" s="579"/>
      <c r="F2209" s="311"/>
      <c r="G2209" s="47"/>
      <c r="H2209" s="313"/>
      <c r="I2209" s="235" t="s">
        <v>710</v>
      </c>
      <c r="J2209" s="60">
        <f>SUM(J2208)</f>
        <v>1500000</v>
      </c>
      <c r="K2209" s="60"/>
      <c r="L2209" s="60">
        <f>SUM(J2208:K2208)</f>
        <v>1500000</v>
      </c>
    </row>
    <row r="2210" spans="1:16" ht="15" x14ac:dyDescent="0.25">
      <c r="D2210" s="49"/>
      <c r="E2210" s="579"/>
      <c r="F2210" s="311"/>
      <c r="G2210" s="55" t="s">
        <v>37</v>
      </c>
      <c r="H2210" s="315"/>
      <c r="I2210" s="220" t="s">
        <v>38</v>
      </c>
      <c r="J2210" s="59">
        <f>SUM(J2209)</f>
        <v>1500000</v>
      </c>
      <c r="K2210" s="59"/>
      <c r="L2210" s="59">
        <f>SUM(J2210+K2210)</f>
        <v>1500000</v>
      </c>
    </row>
    <row r="2211" spans="1:16" ht="15" x14ac:dyDescent="0.2">
      <c r="A2211" s="519"/>
      <c r="B2211" s="49"/>
      <c r="C2211" s="438"/>
      <c r="D2211" s="696"/>
      <c r="E2211" s="579"/>
      <c r="F2211" s="311"/>
      <c r="G2211" s="55"/>
      <c r="H2211" s="312"/>
      <c r="I2211" s="217"/>
      <c r="J2211" s="31"/>
      <c r="K2211" s="31"/>
      <c r="L2211" s="77"/>
    </row>
    <row r="2212" spans="1:16" x14ac:dyDescent="0.2">
      <c r="E2212" s="579"/>
      <c r="F2212" s="311"/>
      <c r="G2212" s="55"/>
      <c r="H2212" s="312"/>
      <c r="I2212" s="871" t="s">
        <v>731</v>
      </c>
      <c r="J2212" s="873">
        <f>SUM(J2209+J2205+J2199)</f>
        <v>38191715.620000005</v>
      </c>
      <c r="K2212" s="873"/>
      <c r="L2212" s="873">
        <f t="shared" ref="L2212" si="133">SUM(L2209+L2205+L2199)</f>
        <v>38191715.620000005</v>
      </c>
    </row>
    <row r="2213" spans="1:16" ht="15" x14ac:dyDescent="0.2">
      <c r="A2213" s="519"/>
      <c r="B2213" s="49"/>
      <c r="C2213" s="438"/>
      <c r="D2213" s="696"/>
      <c r="E2213" s="579"/>
      <c r="F2213" s="311"/>
      <c r="G2213" s="55"/>
      <c r="H2213" s="312"/>
      <c r="I2213" s="217"/>
      <c r="J2213" s="31"/>
      <c r="K2213" s="31"/>
      <c r="L2213" s="77"/>
    </row>
    <row r="2214" spans="1:16" ht="22.5" x14ac:dyDescent="0.2">
      <c r="A2214" s="689"/>
      <c r="B2214" s="690"/>
      <c r="C2214" s="792"/>
      <c r="D2214" s="616" t="s">
        <v>557</v>
      </c>
      <c r="E2214" s="617"/>
      <c r="F2214" s="701"/>
      <c r="G2214" s="691"/>
      <c r="H2214" s="692"/>
      <c r="I2214" s="727" t="s">
        <v>627</v>
      </c>
      <c r="J2214" s="662">
        <f>SUM(J2223+J2232+J2240+J2245+J2251+J2257+J2263+J2269+J2279+J2284+J2289+J2294+J2274)</f>
        <v>114476304</v>
      </c>
      <c r="K2214" s="662"/>
      <c r="L2214" s="662">
        <f>SUM(L2223+L2232+L2240+L2245+L2251+L2257+L2263+L2269+L2279+L2284+L2289+L2294+L2274)</f>
        <v>114476304</v>
      </c>
    </row>
    <row r="2215" spans="1:16" ht="15" x14ac:dyDescent="0.2">
      <c r="A2215" s="519"/>
      <c r="B2215" s="49"/>
      <c r="C2215" s="438"/>
      <c r="D2215" s="696"/>
      <c r="E2215" s="579"/>
      <c r="F2215" s="311"/>
      <c r="G2215" s="47"/>
      <c r="H2215" s="312"/>
      <c r="I2215" s="191"/>
      <c r="J2215" s="191"/>
      <c r="K2215" s="191"/>
      <c r="L2215" s="191"/>
    </row>
    <row r="2216" spans="1:16" ht="15" x14ac:dyDescent="0.25">
      <c r="A2216" s="519"/>
      <c r="B2216" s="49"/>
      <c r="C2216" s="503"/>
      <c r="D2216" s="696"/>
      <c r="E2216" s="583"/>
      <c r="F2216" s="439"/>
      <c r="G2216" s="329"/>
      <c r="H2216" s="472"/>
      <c r="I2216" s="396" t="s">
        <v>272</v>
      </c>
      <c r="J2216" s="494"/>
      <c r="K2216" s="494"/>
      <c r="L2216" s="331"/>
    </row>
    <row r="2217" spans="1:16" ht="22.5" x14ac:dyDescent="0.25">
      <c r="A2217" s="519"/>
      <c r="B2217" s="49"/>
      <c r="C2217" s="438"/>
      <c r="D2217" s="696"/>
      <c r="E2217" s="580" t="s">
        <v>701</v>
      </c>
      <c r="F2217" s="439"/>
      <c r="G2217" s="329"/>
      <c r="H2217" s="472"/>
      <c r="I2217" s="723" t="s">
        <v>702</v>
      </c>
      <c r="J2217" s="399"/>
      <c r="K2217" s="399"/>
      <c r="L2217" s="402"/>
    </row>
    <row r="2218" spans="1:16" ht="15" x14ac:dyDescent="0.25">
      <c r="A2218" s="519"/>
      <c r="B2218" s="49"/>
      <c r="C2218" s="438"/>
      <c r="D2218" s="696"/>
      <c r="E2218" s="579"/>
      <c r="F2218" s="311"/>
      <c r="G2218" s="47"/>
      <c r="H2218" s="315"/>
      <c r="I2218" s="249"/>
      <c r="J2218" s="192"/>
      <c r="K2218" s="192"/>
      <c r="L2218" s="327"/>
    </row>
    <row r="2219" spans="1:16" ht="15" x14ac:dyDescent="0.2">
      <c r="A2219" s="519"/>
      <c r="B2219" s="49"/>
      <c r="C2219" s="438">
        <v>640</v>
      </c>
      <c r="D2219" s="696"/>
      <c r="E2219" s="579"/>
      <c r="F2219" s="311"/>
      <c r="G2219" s="47"/>
      <c r="H2219" s="312"/>
      <c r="I2219" s="279" t="s">
        <v>632</v>
      </c>
      <c r="J2219" s="199"/>
      <c r="K2219" s="199"/>
      <c r="L2219" s="199"/>
    </row>
    <row r="2220" spans="1:16" ht="15" x14ac:dyDescent="0.2">
      <c r="A2220" s="519"/>
      <c r="B2220" s="49"/>
      <c r="C2220" s="438"/>
      <c r="D2220" s="696"/>
      <c r="E2220" s="579"/>
      <c r="F2220" s="311">
        <v>452</v>
      </c>
      <c r="G2220" s="47"/>
      <c r="H2220" s="312" t="s">
        <v>588</v>
      </c>
      <c r="I2220" s="308" t="s">
        <v>7</v>
      </c>
      <c r="J2220" s="59">
        <v>70400000</v>
      </c>
      <c r="K2220" s="59"/>
      <c r="L2220" s="59">
        <f>SUM(J2220:K2220)</f>
        <v>70400000</v>
      </c>
      <c r="M2220" s="189"/>
    </row>
    <row r="2221" spans="1:16" ht="15" x14ac:dyDescent="0.2">
      <c r="A2221" s="519"/>
      <c r="B2221" s="49"/>
      <c r="C2221" s="438"/>
      <c r="D2221" s="696"/>
      <c r="E2221" s="579"/>
      <c r="F2221" s="311">
        <v>453</v>
      </c>
      <c r="G2221" s="47"/>
      <c r="H2221" s="312" t="s">
        <v>46</v>
      </c>
      <c r="I2221" s="236" t="s">
        <v>10</v>
      </c>
      <c r="J2221" s="59">
        <v>1000000</v>
      </c>
      <c r="K2221" s="199"/>
      <c r="L2221" s="59">
        <f t="shared" ref="L2221:L2224" si="134">SUM(J2221:K2221)</f>
        <v>1000000</v>
      </c>
    </row>
    <row r="2222" spans="1:16" s="191" customFormat="1" x14ac:dyDescent="0.2">
      <c r="A2222" s="519"/>
      <c r="B2222" s="49"/>
      <c r="C2222" s="49"/>
      <c r="D2222" s="49"/>
      <c r="E2222" s="579"/>
      <c r="F2222" s="311">
        <v>454</v>
      </c>
      <c r="G2222" s="47"/>
      <c r="H2222" s="312" t="s">
        <v>271</v>
      </c>
      <c r="I2222" s="236" t="s">
        <v>22</v>
      </c>
      <c r="J2222" s="59">
        <v>2500000</v>
      </c>
      <c r="K2222" s="199"/>
      <c r="L2222" s="59">
        <f t="shared" si="134"/>
        <v>2500000</v>
      </c>
      <c r="M2222" s="200"/>
      <c r="N2222" s="201"/>
      <c r="O2222" s="166"/>
      <c r="P2222" s="166"/>
    </row>
    <row r="2223" spans="1:16" s="191" customFormat="1" ht="15" x14ac:dyDescent="0.25">
      <c r="A2223" s="519"/>
      <c r="B2223" s="49"/>
      <c r="C2223" s="516"/>
      <c r="D2223" s="519"/>
      <c r="E2223" s="586"/>
      <c r="F2223" s="311"/>
      <c r="G2223" s="47"/>
      <c r="H2223" s="325"/>
      <c r="I2223" s="309" t="s">
        <v>703</v>
      </c>
      <c r="J2223" s="199">
        <f>SUM(J2220:J2222)</f>
        <v>73900000</v>
      </c>
      <c r="K2223" s="199"/>
      <c r="L2223" s="59">
        <f t="shared" si="134"/>
        <v>73900000</v>
      </c>
      <c r="M2223" s="200"/>
      <c r="N2223" s="201"/>
      <c r="O2223" s="166"/>
      <c r="P2223" s="166"/>
    </row>
    <row r="2224" spans="1:16" s="191" customFormat="1" ht="15" x14ac:dyDescent="0.25">
      <c r="A2224" s="519"/>
      <c r="B2224" s="49"/>
      <c r="C2224" s="438"/>
      <c r="D2224" s="519"/>
      <c r="E2224" s="579"/>
      <c r="F2224" s="311"/>
      <c r="G2224" s="55" t="s">
        <v>37</v>
      </c>
      <c r="H2224" s="325"/>
      <c r="I2224" s="236" t="s">
        <v>38</v>
      </c>
      <c r="J2224" s="199">
        <f>SUM(J2223)</f>
        <v>73900000</v>
      </c>
      <c r="K2224" s="199"/>
      <c r="L2224" s="60">
        <f t="shared" si="134"/>
        <v>73900000</v>
      </c>
      <c r="M2224" s="200"/>
      <c r="N2224" s="201"/>
      <c r="O2224" s="166"/>
      <c r="P2224" s="166"/>
    </row>
    <row r="2225" spans="1:16" s="191" customFormat="1" ht="15" x14ac:dyDescent="0.25">
      <c r="A2225" s="519"/>
      <c r="B2225" s="49"/>
      <c r="C2225" s="438"/>
      <c r="D2225" s="519"/>
      <c r="E2225" s="579"/>
      <c r="F2225" s="311"/>
      <c r="G2225" s="47"/>
      <c r="H2225" s="325"/>
      <c r="I2225" s="26"/>
      <c r="J2225" s="192"/>
      <c r="K2225" s="192"/>
      <c r="L2225" s="327"/>
      <c r="M2225" s="200"/>
      <c r="N2225" s="201"/>
      <c r="O2225" s="166"/>
      <c r="P2225" s="166"/>
    </row>
    <row r="2226" spans="1:16" s="191" customFormat="1" ht="15" x14ac:dyDescent="0.25">
      <c r="A2226" s="519"/>
      <c r="B2226" s="49"/>
      <c r="C2226" s="438">
        <v>920</v>
      </c>
      <c r="D2226" s="519"/>
      <c r="E2226" s="579"/>
      <c r="F2226" s="814"/>
      <c r="G2226" s="47"/>
      <c r="H2226" s="325"/>
      <c r="I2226" s="287" t="s">
        <v>76</v>
      </c>
      <c r="J2226" s="364"/>
      <c r="K2226" s="364"/>
      <c r="L2226" s="365"/>
      <c r="M2226" s="200"/>
      <c r="N2226" s="201"/>
      <c r="O2226" s="166"/>
      <c r="P2226" s="166"/>
    </row>
    <row r="2227" spans="1:16" s="191" customFormat="1" ht="15" x14ac:dyDescent="0.25">
      <c r="A2227" s="519"/>
      <c r="B2227" s="49"/>
      <c r="C2227" s="438"/>
      <c r="D2227" s="519"/>
      <c r="E2227" s="579"/>
      <c r="F2227" s="814"/>
      <c r="G2227" s="322"/>
      <c r="H2227" s="325"/>
      <c r="I2227" s="233"/>
      <c r="J2227" s="192"/>
      <c r="K2227" s="192"/>
      <c r="L2227" s="327"/>
      <c r="M2227" s="200"/>
      <c r="N2227" s="201"/>
      <c r="O2227" s="166"/>
      <c r="P2227" s="166"/>
    </row>
    <row r="2228" spans="1:16" s="191" customFormat="1" ht="45" x14ac:dyDescent="0.2">
      <c r="A2228" s="519"/>
      <c r="B2228" s="49"/>
      <c r="C2228" s="438"/>
      <c r="D2228" s="519"/>
      <c r="E2228" s="581" t="s">
        <v>557</v>
      </c>
      <c r="F2228" s="391"/>
      <c r="G2228" s="414"/>
      <c r="H2228" s="393"/>
      <c r="I2228" s="395" t="s">
        <v>741</v>
      </c>
      <c r="J2228" s="80"/>
      <c r="K2228" s="80"/>
      <c r="L2228" s="260"/>
      <c r="M2228" s="200"/>
      <c r="N2228" s="201"/>
      <c r="O2228" s="166"/>
      <c r="P2228" s="166"/>
    </row>
    <row r="2229" spans="1:16" s="191" customFormat="1" ht="15" x14ac:dyDescent="0.2">
      <c r="A2229" s="519"/>
      <c r="B2229" s="49"/>
      <c r="C2229" s="438"/>
      <c r="D2229" s="519"/>
      <c r="E2229" s="582"/>
      <c r="F2229" s="441">
        <v>455</v>
      </c>
      <c r="G2229" s="322"/>
      <c r="H2229" s="470" t="s">
        <v>717</v>
      </c>
      <c r="I2229" s="270" t="s">
        <v>222</v>
      </c>
      <c r="J2229" s="59">
        <v>600000</v>
      </c>
      <c r="K2229" s="59"/>
      <c r="L2229" s="59">
        <v>600000</v>
      </c>
      <c r="M2229" s="200"/>
      <c r="N2229" s="201"/>
      <c r="O2229" s="166"/>
      <c r="P2229" s="166"/>
    </row>
    <row r="2230" spans="1:16" s="191" customFormat="1" ht="15" x14ac:dyDescent="0.2">
      <c r="A2230" s="519"/>
      <c r="B2230" s="49"/>
      <c r="C2230" s="438"/>
      <c r="D2230" s="519"/>
      <c r="E2230" s="579"/>
      <c r="F2230" s="311"/>
      <c r="G2230" s="47"/>
      <c r="H2230" s="312"/>
      <c r="I2230" s="220" t="s">
        <v>74</v>
      </c>
      <c r="J2230" s="59">
        <v>600000</v>
      </c>
      <c r="K2230" s="59"/>
      <c r="L2230" s="59">
        <f>SUM(J2230:K2230)</f>
        <v>600000</v>
      </c>
      <c r="M2230" s="200"/>
      <c r="N2230" s="201"/>
      <c r="O2230" s="166"/>
      <c r="P2230" s="166"/>
    </row>
    <row r="2231" spans="1:16" s="191" customFormat="1" x14ac:dyDescent="0.2">
      <c r="A2231" s="519"/>
      <c r="B2231" s="49"/>
      <c r="C2231" s="516"/>
      <c r="D2231" s="519"/>
      <c r="E2231" s="579"/>
      <c r="F2231" s="311"/>
      <c r="G2231" s="55" t="s">
        <v>37</v>
      </c>
      <c r="H2231" s="313"/>
      <c r="I2231" s="220" t="s">
        <v>38</v>
      </c>
      <c r="J2231" s="59">
        <f>SUM(J2230)</f>
        <v>600000</v>
      </c>
      <c r="K2231" s="59"/>
      <c r="L2231" s="59">
        <f>SUM(J2230:K2230)</f>
        <v>600000</v>
      </c>
      <c r="M2231" s="200"/>
      <c r="N2231" s="201"/>
      <c r="O2231" s="166"/>
      <c r="P2231" s="166"/>
    </row>
    <row r="2232" spans="1:16" s="191" customFormat="1" ht="15" x14ac:dyDescent="0.25">
      <c r="A2232" s="519"/>
      <c r="B2232" s="49"/>
      <c r="C2232" s="438"/>
      <c r="D2232" s="519"/>
      <c r="E2232" s="579"/>
      <c r="F2232" s="311"/>
      <c r="G2232" s="55"/>
      <c r="H2232" s="315"/>
      <c r="I2232" s="65" t="s">
        <v>704</v>
      </c>
      <c r="J2232" s="60">
        <f>SUM(J2230)</f>
        <v>600000</v>
      </c>
      <c r="K2232" s="60"/>
      <c r="L2232" s="60">
        <f>SUM(J2231:K2231)</f>
        <v>600000</v>
      </c>
      <c r="M2232" s="200"/>
      <c r="N2232" s="201"/>
      <c r="O2232" s="166"/>
      <c r="P2232" s="166"/>
    </row>
    <row r="2233" spans="1:16" s="191" customFormat="1" ht="15" x14ac:dyDescent="0.2">
      <c r="A2233" s="519"/>
      <c r="B2233" s="49"/>
      <c r="C2233" s="438"/>
      <c r="D2233" s="519"/>
      <c r="E2233" s="579"/>
      <c r="F2233" s="311"/>
      <c r="G2233" s="47"/>
      <c r="H2233" s="312"/>
      <c r="I2233" s="18"/>
      <c r="J2233" s="192"/>
      <c r="K2233" s="192"/>
      <c r="L2233" s="327"/>
      <c r="M2233" s="200"/>
      <c r="N2233" s="201"/>
      <c r="O2233" s="166"/>
      <c r="P2233" s="166"/>
    </row>
    <row r="2234" spans="1:16" s="191" customFormat="1" ht="15" x14ac:dyDescent="0.2">
      <c r="A2234" s="519"/>
      <c r="B2234" s="49"/>
      <c r="C2234" s="438">
        <v>620</v>
      </c>
      <c r="D2234" s="519"/>
      <c r="E2234" s="579"/>
      <c r="F2234" s="311"/>
      <c r="G2234" s="47"/>
      <c r="H2234" s="312"/>
      <c r="I2234" s="18" t="s">
        <v>105</v>
      </c>
      <c r="J2234" s="192"/>
      <c r="K2234" s="192"/>
      <c r="L2234" s="327"/>
      <c r="M2234" s="200"/>
      <c r="N2234" s="201"/>
      <c r="O2234" s="166"/>
      <c r="P2234" s="166"/>
    </row>
    <row r="2235" spans="1:16" s="191" customFormat="1" ht="15" x14ac:dyDescent="0.2">
      <c r="A2235" s="519"/>
      <c r="B2235" s="49"/>
      <c r="C2235" s="438"/>
      <c r="D2235" s="519"/>
      <c r="E2235" s="579"/>
      <c r="F2235" s="311"/>
      <c r="G2235" s="47"/>
      <c r="H2235" s="313"/>
      <c r="I2235" s="18"/>
      <c r="J2235" s="192"/>
      <c r="K2235" s="192"/>
      <c r="L2235" s="327"/>
      <c r="M2235" s="200"/>
      <c r="N2235" s="201"/>
      <c r="O2235" s="166"/>
      <c r="P2235" s="166"/>
    </row>
    <row r="2236" spans="1:16" s="191" customFormat="1" ht="22.5" x14ac:dyDescent="0.2">
      <c r="A2236" s="50"/>
      <c r="B2236" s="50"/>
      <c r="C2236" s="49"/>
      <c r="D2236" s="50"/>
      <c r="E2236" s="581" t="s">
        <v>557</v>
      </c>
      <c r="F2236" s="391"/>
      <c r="G2236" s="334"/>
      <c r="H2236" s="461"/>
      <c r="I2236" s="395" t="s">
        <v>740</v>
      </c>
      <c r="J2236" s="80"/>
      <c r="K2236" s="80"/>
      <c r="L2236" s="260"/>
      <c r="M2236" s="200"/>
      <c r="N2236" s="201"/>
      <c r="O2236" s="166"/>
      <c r="P2236" s="166"/>
    </row>
    <row r="2237" spans="1:16" s="191" customFormat="1" x14ac:dyDescent="0.2">
      <c r="A2237" s="50"/>
      <c r="B2237" s="50"/>
      <c r="C2237" s="49"/>
      <c r="D2237" s="50"/>
      <c r="E2237" s="579"/>
      <c r="F2237" s="311">
        <v>456</v>
      </c>
      <c r="G2237" s="47"/>
      <c r="H2237" s="312" t="s">
        <v>270</v>
      </c>
      <c r="I2237" s="65" t="s">
        <v>584</v>
      </c>
      <c r="J2237" s="59">
        <v>108000</v>
      </c>
      <c r="K2237" s="59"/>
      <c r="L2237" s="59">
        <f>SUM(J2237:K2237)</f>
        <v>108000</v>
      </c>
      <c r="M2237" s="200"/>
      <c r="N2237" s="201"/>
      <c r="O2237" s="166"/>
      <c r="P2237" s="166"/>
    </row>
    <row r="2238" spans="1:16" s="191" customFormat="1" x14ac:dyDescent="0.2">
      <c r="A2238" s="50"/>
      <c r="B2238" s="50"/>
      <c r="C2238" s="49"/>
      <c r="D2238" s="50"/>
      <c r="E2238" s="579"/>
      <c r="F2238" s="311"/>
      <c r="G2238" s="55" t="s">
        <v>37</v>
      </c>
      <c r="H2238" s="312"/>
      <c r="I2238" s="220" t="s">
        <v>38</v>
      </c>
      <c r="J2238" s="59">
        <f>SUM(J2237-J2239)</f>
        <v>46000</v>
      </c>
      <c r="K2238" s="59"/>
      <c r="L2238" s="59">
        <f t="shared" ref="L2238:L2240" si="135">SUM(J2238:K2238)</f>
        <v>46000</v>
      </c>
      <c r="M2238" s="200"/>
      <c r="N2238" s="201"/>
      <c r="O2238" s="166"/>
      <c r="P2238" s="166"/>
    </row>
    <row r="2239" spans="1:16" s="191" customFormat="1" x14ac:dyDescent="0.2">
      <c r="A2239" s="50"/>
      <c r="B2239" s="49"/>
      <c r="C2239" s="49"/>
      <c r="D2239" s="519"/>
      <c r="E2239" s="579"/>
      <c r="F2239" s="311"/>
      <c r="G2239" s="55" t="s">
        <v>113</v>
      </c>
      <c r="H2239" s="312"/>
      <c r="I2239" s="220" t="s">
        <v>418</v>
      </c>
      <c r="J2239" s="59">
        <v>62000</v>
      </c>
      <c r="K2239" s="59"/>
      <c r="L2239" s="59">
        <f t="shared" si="135"/>
        <v>62000</v>
      </c>
      <c r="M2239" s="200"/>
      <c r="N2239" s="201"/>
      <c r="O2239" s="166"/>
      <c r="P2239" s="166"/>
    </row>
    <row r="2240" spans="1:16" s="191" customFormat="1" x14ac:dyDescent="0.2">
      <c r="A2240" s="50"/>
      <c r="B2240" s="49"/>
      <c r="C2240" s="49"/>
      <c r="D2240" s="519"/>
      <c r="E2240" s="579"/>
      <c r="F2240" s="311"/>
      <c r="G2240" s="55"/>
      <c r="H2240" s="313"/>
      <c r="I2240" s="65" t="s">
        <v>704</v>
      </c>
      <c r="J2240" s="60">
        <f>SUM(J2237)</f>
        <v>108000</v>
      </c>
      <c r="K2240" s="60"/>
      <c r="L2240" s="60">
        <f t="shared" si="135"/>
        <v>108000</v>
      </c>
      <c r="M2240" s="200"/>
      <c r="N2240" s="201"/>
      <c r="O2240" s="166"/>
      <c r="P2240" s="166"/>
    </row>
    <row r="2241" spans="1:22" s="191" customFormat="1" x14ac:dyDescent="0.2">
      <c r="A2241" s="50"/>
      <c r="B2241" s="49"/>
      <c r="C2241" s="49"/>
      <c r="D2241" s="519"/>
      <c r="E2241" s="579"/>
      <c r="F2241" s="311"/>
      <c r="G2241" s="47"/>
      <c r="H2241" s="312"/>
      <c r="I2241" s="594"/>
      <c r="J2241" s="342"/>
      <c r="K2241" s="342"/>
      <c r="L2241" s="342"/>
      <c r="M2241" s="916"/>
      <c r="N2241" s="201"/>
      <c r="O2241" s="166"/>
      <c r="P2241" s="166"/>
    </row>
    <row r="2242" spans="1:22" s="191" customFormat="1" ht="22.5" x14ac:dyDescent="0.2">
      <c r="A2242" s="50"/>
      <c r="B2242" s="49"/>
      <c r="C2242" s="49"/>
      <c r="D2242" s="519"/>
      <c r="E2242" s="581" t="s">
        <v>557</v>
      </c>
      <c r="F2242" s="391"/>
      <c r="G2242" s="334"/>
      <c r="H2242" s="461"/>
      <c r="I2242" s="339" t="s">
        <v>898</v>
      </c>
      <c r="J2242" s="259"/>
      <c r="K2242" s="80"/>
      <c r="L2242" s="260"/>
      <c r="M2242" s="200"/>
      <c r="N2242" s="201"/>
      <c r="O2242" s="166"/>
      <c r="P2242" s="166"/>
    </row>
    <row r="2243" spans="1:22" s="206" customFormat="1" ht="15" x14ac:dyDescent="0.25">
      <c r="A2243" s="50"/>
      <c r="B2243" s="50"/>
      <c r="C2243" s="49"/>
      <c r="D2243" s="50"/>
      <c r="E2243" s="579"/>
      <c r="F2243" s="311">
        <v>457</v>
      </c>
      <c r="G2243" s="47"/>
      <c r="H2243" s="312" t="s">
        <v>270</v>
      </c>
      <c r="I2243" s="220" t="s">
        <v>20</v>
      </c>
      <c r="J2243" s="64">
        <v>2040000</v>
      </c>
      <c r="K2243" s="59"/>
      <c r="L2243" s="59">
        <f>SUM(J2243:K2243)</f>
        <v>2040000</v>
      </c>
      <c r="M2243" s="931"/>
      <c r="N2243" s="204"/>
      <c r="O2243" s="205"/>
      <c r="P2243" s="205"/>
    </row>
    <row r="2244" spans="1:22" s="206" customFormat="1" ht="15" x14ac:dyDescent="0.25">
      <c r="A2244" s="50"/>
      <c r="B2244" s="49"/>
      <c r="C2244" s="49"/>
      <c r="D2244" s="519"/>
      <c r="E2244" s="579"/>
      <c r="F2244" s="311"/>
      <c r="G2244" s="55" t="s">
        <v>37</v>
      </c>
      <c r="H2244" s="312"/>
      <c r="I2244" s="220" t="s">
        <v>38</v>
      </c>
      <c r="J2244" s="64">
        <f>SUM(J2243:J2243)</f>
        <v>2040000</v>
      </c>
      <c r="K2244" s="59"/>
      <c r="L2244" s="59">
        <f>SUM(J2243:K2243)</f>
        <v>2040000</v>
      </c>
      <c r="M2244" s="931"/>
      <c r="N2244" s="204"/>
      <c r="O2244" s="205"/>
      <c r="P2244" s="205"/>
    </row>
    <row r="2245" spans="1:22" s="196" customFormat="1" ht="15" x14ac:dyDescent="0.25">
      <c r="A2245" s="50"/>
      <c r="B2245" s="49"/>
      <c r="C2245" s="49"/>
      <c r="D2245" s="519"/>
      <c r="E2245" s="579"/>
      <c r="F2245" s="311"/>
      <c r="G2245" s="47"/>
      <c r="H2245" s="313"/>
      <c r="I2245" s="229" t="s">
        <v>710</v>
      </c>
      <c r="J2245" s="56">
        <f>SUM(J2244)</f>
        <v>2040000</v>
      </c>
      <c r="K2245" s="60"/>
      <c r="L2245" s="60">
        <f>SUM(L2244)</f>
        <v>2040000</v>
      </c>
      <c r="M2245" s="931"/>
      <c r="N2245" s="932"/>
      <c r="O2245" s="914"/>
      <c r="P2245" s="914"/>
    </row>
    <row r="2246" spans="1:22" s="207" customFormat="1" ht="15" x14ac:dyDescent="0.25">
      <c r="A2246" s="50"/>
      <c r="B2246" s="49"/>
      <c r="C2246" s="49"/>
      <c r="D2246" s="519"/>
      <c r="E2246" s="579"/>
      <c r="F2246" s="311"/>
      <c r="G2246" s="47"/>
      <c r="H2246" s="313"/>
      <c r="I2246" s="594"/>
      <c r="J2246" s="342"/>
      <c r="K2246" s="342"/>
      <c r="L2246" s="342"/>
      <c r="M2246" s="931"/>
      <c r="N2246" s="1103"/>
      <c r="O2246" s="1103"/>
      <c r="P2246" s="1103"/>
      <c r="Q2246" s="1103"/>
      <c r="R2246" s="1103"/>
      <c r="S2246" s="1103"/>
      <c r="T2246" s="1103"/>
      <c r="U2246" s="1103"/>
      <c r="V2246" s="1103"/>
    </row>
    <row r="2247" spans="1:22" s="207" customFormat="1" ht="22.5" x14ac:dyDescent="0.25">
      <c r="A2247" s="50"/>
      <c r="B2247" s="49"/>
      <c r="C2247" s="49"/>
      <c r="D2247" s="519"/>
      <c r="E2247" s="581" t="s">
        <v>557</v>
      </c>
      <c r="F2247" s="391"/>
      <c r="G2247" s="334"/>
      <c r="H2247" s="393"/>
      <c r="I2247" s="401" t="s">
        <v>739</v>
      </c>
      <c r="J2247" s="326"/>
      <c r="K2247" s="326"/>
      <c r="L2247" s="57"/>
      <c r="M2247" s="931"/>
      <c r="N2247" s="933"/>
      <c r="O2247" s="933"/>
      <c r="P2247" s="933"/>
      <c r="Q2247" s="421"/>
      <c r="R2247" s="421"/>
      <c r="S2247" s="421"/>
      <c r="T2247" s="421"/>
      <c r="U2247" s="421"/>
      <c r="V2247" s="421"/>
    </row>
    <row r="2248" spans="1:22" x14ac:dyDescent="0.2">
      <c r="B2248" s="49"/>
      <c r="D2248" s="519"/>
      <c r="E2248" s="579"/>
      <c r="F2248" s="311">
        <v>458</v>
      </c>
      <c r="G2248" s="47"/>
      <c r="H2248" s="311">
        <v>511</v>
      </c>
      <c r="I2248" s="220" t="s">
        <v>20</v>
      </c>
      <c r="J2248" s="59">
        <v>3059200</v>
      </c>
      <c r="K2248" s="59"/>
      <c r="L2248" s="59">
        <f>SUM(J2248:K2248)</f>
        <v>3059200</v>
      </c>
    </row>
    <row r="2249" spans="1:22" x14ac:dyDescent="0.2">
      <c r="E2249" s="579"/>
      <c r="F2249" s="311"/>
      <c r="G2249" s="55" t="s">
        <v>37</v>
      </c>
      <c r="H2249" s="312"/>
      <c r="I2249" s="220" t="s">
        <v>38</v>
      </c>
      <c r="J2249" s="59">
        <f>SUM(J2248-J2250)</f>
        <v>61184</v>
      </c>
      <c r="K2249" s="59"/>
      <c r="L2249" s="59">
        <f t="shared" ref="L2249:L2251" si="136">SUM(J2249:K2249)</f>
        <v>61184</v>
      </c>
    </row>
    <row r="2250" spans="1:22" x14ac:dyDescent="0.2">
      <c r="B2250" s="49"/>
      <c r="D2250" s="519"/>
      <c r="E2250" s="579"/>
      <c r="F2250" s="311"/>
      <c r="G2250" s="55" t="s">
        <v>113</v>
      </c>
      <c r="H2250" s="312"/>
      <c r="I2250" s="220" t="s">
        <v>418</v>
      </c>
      <c r="J2250" s="59">
        <v>2998016</v>
      </c>
      <c r="K2250" s="59"/>
      <c r="L2250" s="59">
        <f t="shared" si="136"/>
        <v>2998016</v>
      </c>
    </row>
    <row r="2251" spans="1:22" x14ac:dyDescent="0.2">
      <c r="B2251" s="49"/>
      <c r="D2251" s="519"/>
      <c r="E2251" s="579"/>
      <c r="F2251" s="311"/>
      <c r="G2251" s="47"/>
      <c r="H2251" s="313"/>
      <c r="I2251" s="229" t="s">
        <v>710</v>
      </c>
      <c r="J2251" s="60">
        <f>SUM(J2248)</f>
        <v>3059200</v>
      </c>
      <c r="K2251" s="60"/>
      <c r="L2251" s="60">
        <f t="shared" si="136"/>
        <v>3059200</v>
      </c>
    </row>
    <row r="2252" spans="1:22" x14ac:dyDescent="0.2">
      <c r="B2252" s="49"/>
      <c r="D2252" s="519"/>
      <c r="E2252" s="579"/>
      <c r="F2252" s="311"/>
      <c r="G2252" s="47"/>
      <c r="H2252" s="313"/>
    </row>
    <row r="2253" spans="1:22" ht="22.5" x14ac:dyDescent="0.2">
      <c r="B2253" s="49"/>
      <c r="D2253" s="519"/>
      <c r="E2253" s="581" t="s">
        <v>557</v>
      </c>
      <c r="F2253" s="391"/>
      <c r="G2253" s="334"/>
      <c r="H2253" s="393"/>
      <c r="I2253" s="401" t="s">
        <v>791</v>
      </c>
      <c r="J2253" s="261"/>
      <c r="K2253" s="326"/>
      <c r="L2253" s="57"/>
    </row>
    <row r="2254" spans="1:22" x14ac:dyDescent="0.2">
      <c r="B2254" s="49"/>
      <c r="D2254" s="519"/>
      <c r="E2254" s="579"/>
      <c r="F2254" s="311">
        <v>459</v>
      </c>
      <c r="G2254" s="47"/>
      <c r="H2254" s="312" t="s">
        <v>270</v>
      </c>
      <c r="I2254" s="220" t="s">
        <v>20</v>
      </c>
      <c r="J2254" s="64">
        <v>1000000</v>
      </c>
      <c r="K2254" s="59"/>
      <c r="L2254" s="59">
        <f>SUM(J2254:K2254)</f>
        <v>1000000</v>
      </c>
    </row>
    <row r="2255" spans="1:22" x14ac:dyDescent="0.2">
      <c r="B2255" s="49"/>
      <c r="D2255" s="519"/>
      <c r="E2255" s="579"/>
      <c r="F2255" s="311"/>
      <c r="G2255" s="55" t="s">
        <v>37</v>
      </c>
      <c r="H2255" s="312"/>
      <c r="I2255" s="220" t="s">
        <v>38</v>
      </c>
      <c r="J2255" s="64">
        <f>SUM(J2254-J2256)</f>
        <v>150000.33999999997</v>
      </c>
      <c r="K2255" s="59"/>
      <c r="L2255" s="59">
        <f t="shared" ref="L2255:L2257" si="137">SUM(J2255:K2255)</f>
        <v>150000.33999999997</v>
      </c>
    </row>
    <row r="2256" spans="1:22" x14ac:dyDescent="0.2">
      <c r="B2256" s="49"/>
      <c r="D2256" s="519"/>
      <c r="E2256" s="579"/>
      <c r="F2256" s="311"/>
      <c r="G2256" s="55" t="s">
        <v>113</v>
      </c>
      <c r="H2256" s="312"/>
      <c r="I2256" s="220" t="s">
        <v>418</v>
      </c>
      <c r="J2256" s="64">
        <v>849999.66</v>
      </c>
      <c r="K2256" s="59"/>
      <c r="L2256" s="59">
        <f t="shared" si="137"/>
        <v>849999.66</v>
      </c>
    </row>
    <row r="2257" spans="2:12" x14ac:dyDescent="0.2">
      <c r="B2257" s="49"/>
      <c r="D2257" s="519"/>
      <c r="E2257" s="579"/>
      <c r="F2257" s="311"/>
      <c r="G2257" s="47"/>
      <c r="H2257" s="313"/>
      <c r="I2257" s="229" t="s">
        <v>710</v>
      </c>
      <c r="J2257" s="56">
        <f>SUM(J2255:J2256)</f>
        <v>1000000</v>
      </c>
      <c r="K2257" s="60"/>
      <c r="L2257" s="60">
        <f t="shared" si="137"/>
        <v>1000000</v>
      </c>
    </row>
    <row r="2258" spans="2:12" x14ac:dyDescent="0.2">
      <c r="B2258" s="49"/>
      <c r="D2258" s="519"/>
      <c r="E2258" s="579"/>
      <c r="F2258" s="311"/>
      <c r="G2258" s="47"/>
      <c r="H2258" s="313"/>
      <c r="I2258" s="269"/>
      <c r="J2258" s="224"/>
      <c r="K2258" s="30"/>
      <c r="L2258" s="61"/>
    </row>
    <row r="2259" spans="2:12" ht="22.5" x14ac:dyDescent="0.2">
      <c r="B2259" s="49"/>
      <c r="D2259" s="519"/>
      <c r="E2259" s="581" t="s">
        <v>557</v>
      </c>
      <c r="F2259" s="391"/>
      <c r="G2259" s="334"/>
      <c r="H2259" s="393"/>
      <c r="I2259" s="401" t="s">
        <v>790</v>
      </c>
      <c r="J2259" s="261"/>
      <c r="K2259" s="326"/>
      <c r="L2259" s="57"/>
    </row>
    <row r="2260" spans="2:12" x14ac:dyDescent="0.2">
      <c r="B2260" s="49"/>
      <c r="D2260" s="519"/>
      <c r="E2260" s="579"/>
      <c r="F2260" s="311">
        <v>460</v>
      </c>
      <c r="G2260" s="47"/>
      <c r="H2260" s="312" t="s">
        <v>270</v>
      </c>
      <c r="I2260" s="220" t="s">
        <v>20</v>
      </c>
      <c r="J2260" s="64">
        <v>23435104</v>
      </c>
      <c r="K2260" s="59"/>
      <c r="L2260" s="59">
        <f>SUM(J2260:K2260)</f>
        <v>23435104</v>
      </c>
    </row>
    <row r="2261" spans="2:12" x14ac:dyDescent="0.2">
      <c r="B2261" s="49"/>
      <c r="D2261" s="519"/>
      <c r="E2261" s="579"/>
      <c r="F2261" s="311"/>
      <c r="G2261" s="55" t="s">
        <v>37</v>
      </c>
      <c r="H2261" s="312"/>
      <c r="I2261" s="220" t="s">
        <v>38</v>
      </c>
      <c r="J2261" s="64">
        <f>SUM(J2260-J2262)</f>
        <v>13862136</v>
      </c>
      <c r="K2261" s="59"/>
      <c r="L2261" s="59">
        <f t="shared" ref="L2261:L2263" si="138">SUM(J2261:K2261)</f>
        <v>13862136</v>
      </c>
    </row>
    <row r="2262" spans="2:12" x14ac:dyDescent="0.2">
      <c r="B2262" s="49"/>
      <c r="D2262" s="519"/>
      <c r="E2262" s="579"/>
      <c r="F2262" s="311"/>
      <c r="G2262" s="55" t="s">
        <v>113</v>
      </c>
      <c r="H2262" s="312"/>
      <c r="I2262" s="220" t="s">
        <v>418</v>
      </c>
      <c r="J2262" s="64">
        <v>9572968</v>
      </c>
      <c r="K2262" s="59"/>
      <c r="L2262" s="59">
        <f t="shared" si="138"/>
        <v>9572968</v>
      </c>
    </row>
    <row r="2263" spans="2:12" x14ac:dyDescent="0.2">
      <c r="B2263" s="49"/>
      <c r="D2263" s="519"/>
      <c r="E2263" s="579"/>
      <c r="F2263" s="311"/>
      <c r="G2263" s="47"/>
      <c r="H2263" s="312"/>
      <c r="I2263" s="229" t="s">
        <v>710</v>
      </c>
      <c r="J2263" s="56">
        <f>SUM(J2261:J2262)</f>
        <v>23435104</v>
      </c>
      <c r="K2263" s="60"/>
      <c r="L2263" s="60">
        <f t="shared" si="138"/>
        <v>23435104</v>
      </c>
    </row>
    <row r="2264" spans="2:12" x14ac:dyDescent="0.2">
      <c r="B2264" s="49"/>
      <c r="D2264" s="519"/>
      <c r="E2264" s="579"/>
      <c r="F2264" s="311"/>
      <c r="G2264" s="47"/>
      <c r="H2264" s="313"/>
      <c r="I2264" s="269"/>
      <c r="J2264" s="224"/>
      <c r="K2264" s="30"/>
      <c r="L2264" s="61"/>
    </row>
    <row r="2265" spans="2:12" x14ac:dyDescent="0.2">
      <c r="B2265" s="49"/>
      <c r="D2265" s="519"/>
      <c r="E2265" s="579"/>
      <c r="F2265" s="311"/>
      <c r="G2265" s="47"/>
      <c r="H2265" s="312"/>
      <c r="I2265" s="26"/>
      <c r="J2265" s="224"/>
      <c r="K2265" s="30"/>
      <c r="L2265" s="61"/>
    </row>
    <row r="2266" spans="2:12" ht="22.5" x14ac:dyDescent="0.2">
      <c r="B2266" s="49"/>
      <c r="D2266" s="519"/>
      <c r="E2266" s="581" t="s">
        <v>557</v>
      </c>
      <c r="F2266" s="391"/>
      <c r="G2266" s="334"/>
      <c r="H2266" s="461"/>
      <c r="I2266" s="401" t="s">
        <v>738</v>
      </c>
      <c r="J2266" s="261"/>
      <c r="K2266" s="326"/>
      <c r="L2266" s="57"/>
    </row>
    <row r="2267" spans="2:12" x14ac:dyDescent="0.2">
      <c r="E2267" s="579"/>
      <c r="F2267" s="311">
        <v>461</v>
      </c>
      <c r="G2267" s="47"/>
      <c r="H2267" s="312" t="s">
        <v>270</v>
      </c>
      <c r="I2267" s="220" t="s">
        <v>20</v>
      </c>
      <c r="J2267" s="64">
        <v>500000</v>
      </c>
      <c r="K2267" s="59"/>
      <c r="L2267" s="59">
        <f>SUM(J2267:K2267)</f>
        <v>500000</v>
      </c>
    </row>
    <row r="2268" spans="2:12" x14ac:dyDescent="0.2">
      <c r="E2268" s="579"/>
      <c r="F2268" s="311"/>
      <c r="G2268" s="55" t="s">
        <v>37</v>
      </c>
      <c r="H2268" s="312"/>
      <c r="I2268" s="220" t="s">
        <v>38</v>
      </c>
      <c r="J2268" s="64">
        <f>SUM(J2267)</f>
        <v>500000</v>
      </c>
      <c r="K2268" s="59"/>
      <c r="L2268" s="59">
        <f>SUM(J2267:K2267)</f>
        <v>500000</v>
      </c>
    </row>
    <row r="2269" spans="2:12" x14ac:dyDescent="0.2">
      <c r="B2269" s="49"/>
      <c r="D2269" s="519"/>
      <c r="E2269" s="579"/>
      <c r="F2269" s="311"/>
      <c r="G2269" s="47"/>
      <c r="H2269" s="313"/>
      <c r="I2269" s="229" t="s">
        <v>710</v>
      </c>
      <c r="J2269" s="56">
        <f>SUM(J2268)</f>
        <v>500000</v>
      </c>
      <c r="K2269" s="60"/>
      <c r="L2269" s="60">
        <f>SUM(L2268)</f>
        <v>500000</v>
      </c>
    </row>
    <row r="2270" spans="2:12" x14ac:dyDescent="0.2">
      <c r="B2270" s="49"/>
      <c r="D2270" s="519"/>
      <c r="E2270" s="579"/>
      <c r="F2270" s="311"/>
      <c r="G2270" s="47"/>
      <c r="H2270" s="313"/>
      <c r="I2270" s="269"/>
      <c r="J2270" s="224"/>
      <c r="K2270" s="30"/>
      <c r="L2270" s="30"/>
    </row>
    <row r="2271" spans="2:12" ht="22.5" x14ac:dyDescent="0.2">
      <c r="B2271" s="49"/>
      <c r="D2271" s="519"/>
      <c r="E2271" s="969" t="s">
        <v>557</v>
      </c>
      <c r="F2271" s="970"/>
      <c r="G2271" s="971"/>
      <c r="H2271" s="1007"/>
      <c r="I2271" s="996" t="s">
        <v>1059</v>
      </c>
      <c r="J2271" s="997"/>
      <c r="K2271" s="215"/>
      <c r="L2271" s="998"/>
    </row>
    <row r="2272" spans="2:12" x14ac:dyDescent="0.2">
      <c r="B2272" s="49"/>
      <c r="D2272" s="519"/>
      <c r="E2272" s="834"/>
      <c r="F2272" s="835" t="s">
        <v>1058</v>
      </c>
      <c r="G2272" s="836"/>
      <c r="H2272" s="837" t="s">
        <v>270</v>
      </c>
      <c r="I2272" s="935" t="s">
        <v>20</v>
      </c>
      <c r="J2272" s="937">
        <v>1000000</v>
      </c>
      <c r="K2272" s="214"/>
      <c r="L2272" s="214">
        <f>SUM(J2272:K2272)</f>
        <v>1000000</v>
      </c>
    </row>
    <row r="2273" spans="2:12" x14ac:dyDescent="0.2">
      <c r="B2273" s="49"/>
      <c r="D2273" s="519"/>
      <c r="E2273" s="834"/>
      <c r="F2273" s="835"/>
      <c r="G2273" s="984" t="s">
        <v>37</v>
      </c>
      <c r="H2273" s="837"/>
      <c r="I2273" s="935" t="s">
        <v>38</v>
      </c>
      <c r="J2273" s="937">
        <f>SUM(J2272)</f>
        <v>1000000</v>
      </c>
      <c r="K2273" s="214"/>
      <c r="L2273" s="214">
        <f>SUM(J2272:K2272)</f>
        <v>1000000</v>
      </c>
    </row>
    <row r="2274" spans="2:12" x14ac:dyDescent="0.2">
      <c r="B2274" s="49"/>
      <c r="D2274" s="519"/>
      <c r="E2274" s="834"/>
      <c r="F2274" s="835"/>
      <c r="G2274" s="836"/>
      <c r="H2274" s="1008"/>
      <c r="I2274" s="986" t="s">
        <v>710</v>
      </c>
      <c r="J2274" s="993">
        <f>SUM(J2273)</f>
        <v>1000000</v>
      </c>
      <c r="K2274" s="936"/>
      <c r="L2274" s="936">
        <f>SUM(L2273)</f>
        <v>1000000</v>
      </c>
    </row>
    <row r="2275" spans="2:12" x14ac:dyDescent="0.2">
      <c r="B2275" s="49"/>
      <c r="D2275" s="519"/>
      <c r="E2275" s="579"/>
      <c r="F2275" s="311"/>
      <c r="G2275" s="47"/>
      <c r="H2275" s="312"/>
    </row>
    <row r="2276" spans="2:12" ht="22.5" x14ac:dyDescent="0.2">
      <c r="B2276" s="49"/>
      <c r="D2276" s="519"/>
      <c r="E2276" s="581" t="s">
        <v>557</v>
      </c>
      <c r="F2276" s="391"/>
      <c r="G2276" s="334"/>
      <c r="H2276" s="393"/>
      <c r="I2276" s="401" t="s">
        <v>789</v>
      </c>
      <c r="J2276" s="261"/>
      <c r="K2276" s="326"/>
      <c r="L2276" s="57"/>
    </row>
    <row r="2277" spans="2:12" x14ac:dyDescent="0.2">
      <c r="B2277" s="49"/>
      <c r="D2277" s="519"/>
      <c r="E2277" s="579"/>
      <c r="F2277" s="311">
        <v>462</v>
      </c>
      <c r="G2277" s="47"/>
      <c r="H2277" s="312" t="s">
        <v>270</v>
      </c>
      <c r="I2277" s="220" t="s">
        <v>20</v>
      </c>
      <c r="J2277" s="64">
        <v>500000</v>
      </c>
      <c r="K2277" s="59"/>
      <c r="L2277" s="59">
        <f>SUM(J2277:K2277)</f>
        <v>500000</v>
      </c>
    </row>
    <row r="2278" spans="2:12" x14ac:dyDescent="0.2">
      <c r="B2278" s="49"/>
      <c r="D2278" s="519"/>
      <c r="E2278" s="579"/>
      <c r="F2278" s="311"/>
      <c r="G2278" s="55" t="s">
        <v>37</v>
      </c>
      <c r="H2278" s="312"/>
      <c r="I2278" s="220" t="s">
        <v>38</v>
      </c>
      <c r="J2278" s="64">
        <f>SUM(J2277)</f>
        <v>500000</v>
      </c>
      <c r="K2278" s="59"/>
      <c r="L2278" s="59">
        <f>SUM(J2277:K2277)</f>
        <v>500000</v>
      </c>
    </row>
    <row r="2279" spans="2:12" x14ac:dyDescent="0.2">
      <c r="B2279" s="49"/>
      <c r="D2279" s="519"/>
      <c r="E2279" s="579"/>
      <c r="F2279" s="311"/>
      <c r="G2279" s="47"/>
      <c r="H2279" s="313"/>
      <c r="I2279" s="229" t="s">
        <v>710</v>
      </c>
      <c r="J2279" s="56">
        <f>SUM(J2278)</f>
        <v>500000</v>
      </c>
      <c r="K2279" s="60"/>
      <c r="L2279" s="60">
        <f>SUM(L2278)</f>
        <v>500000</v>
      </c>
    </row>
    <row r="2280" spans="2:12" x14ac:dyDescent="0.2">
      <c r="B2280" s="49"/>
      <c r="D2280" s="519"/>
      <c r="E2280" s="579"/>
      <c r="F2280" s="311"/>
      <c r="G2280" s="47"/>
      <c r="H2280" s="312"/>
      <c r="I2280" s="18"/>
      <c r="J2280" s="224"/>
      <c r="K2280" s="30"/>
      <c r="L2280" s="61"/>
    </row>
    <row r="2281" spans="2:12" ht="22.5" x14ac:dyDescent="0.2">
      <c r="B2281" s="49"/>
      <c r="D2281" s="519"/>
      <c r="E2281" s="581" t="s">
        <v>557</v>
      </c>
      <c r="F2281" s="391"/>
      <c r="G2281" s="334"/>
      <c r="H2281" s="393"/>
      <c r="I2281" s="339" t="s">
        <v>899</v>
      </c>
      <c r="J2281" s="259"/>
      <c r="K2281" s="80"/>
      <c r="L2281" s="260"/>
    </row>
    <row r="2282" spans="2:12" x14ac:dyDescent="0.2">
      <c r="B2282" s="49"/>
      <c r="D2282" s="519"/>
      <c r="E2282" s="579"/>
      <c r="F2282" s="311">
        <v>463</v>
      </c>
      <c r="G2282" s="47"/>
      <c r="H2282" s="312" t="s">
        <v>270</v>
      </c>
      <c r="I2282" s="220" t="s">
        <v>20</v>
      </c>
      <c r="J2282" s="64">
        <v>4284000</v>
      </c>
      <c r="K2282" s="59"/>
      <c r="L2282" s="59">
        <f>SUM(J2282:K2282)</f>
        <v>4284000</v>
      </c>
    </row>
    <row r="2283" spans="2:12" x14ac:dyDescent="0.2">
      <c r="B2283" s="49"/>
      <c r="D2283" s="519"/>
      <c r="E2283" s="579"/>
      <c r="F2283" s="311"/>
      <c r="G2283" s="55" t="s">
        <v>37</v>
      </c>
      <c r="H2283" s="312"/>
      <c r="I2283" s="220" t="s">
        <v>38</v>
      </c>
      <c r="J2283" s="64">
        <f>SUM(J2282:J2282)</f>
        <v>4284000</v>
      </c>
      <c r="K2283" s="59"/>
      <c r="L2283" s="59">
        <f>SUM(J2282:K2282)</f>
        <v>4284000</v>
      </c>
    </row>
    <row r="2284" spans="2:12" x14ac:dyDescent="0.2">
      <c r="B2284" s="49"/>
      <c r="D2284" s="519"/>
      <c r="E2284" s="579"/>
      <c r="F2284" s="311"/>
      <c r="G2284" s="47"/>
      <c r="H2284" s="313"/>
      <c r="I2284" s="229" t="s">
        <v>710</v>
      </c>
      <c r="J2284" s="56">
        <f>SUM(J2283)</f>
        <v>4284000</v>
      </c>
      <c r="K2284" s="60"/>
      <c r="L2284" s="60">
        <f>SUM(L2283)</f>
        <v>4284000</v>
      </c>
    </row>
    <row r="2285" spans="2:12" x14ac:dyDescent="0.2">
      <c r="B2285" s="49"/>
      <c r="D2285" s="519"/>
      <c r="E2285" s="579"/>
      <c r="F2285" s="311"/>
      <c r="G2285" s="47"/>
      <c r="H2285" s="312"/>
      <c r="I2285" s="18"/>
      <c r="J2285" s="224"/>
      <c r="K2285" s="30"/>
      <c r="L2285" s="61"/>
    </row>
    <row r="2286" spans="2:12" x14ac:dyDescent="0.2">
      <c r="B2286" s="49"/>
      <c r="D2286" s="519"/>
      <c r="E2286" s="581" t="s">
        <v>557</v>
      </c>
      <c r="F2286" s="391"/>
      <c r="G2286" s="334"/>
      <c r="H2286" s="393"/>
      <c r="I2286" s="339" t="s">
        <v>897</v>
      </c>
      <c r="J2286" s="259"/>
      <c r="K2286" s="80"/>
      <c r="L2286" s="260"/>
    </row>
    <row r="2287" spans="2:12" x14ac:dyDescent="0.2">
      <c r="B2287" s="49"/>
      <c r="D2287" s="519"/>
      <c r="E2287" s="579"/>
      <c r="F2287" s="311">
        <v>464</v>
      </c>
      <c r="G2287" s="47"/>
      <c r="H2287" s="312" t="s">
        <v>270</v>
      </c>
      <c r="I2287" s="220" t="s">
        <v>20</v>
      </c>
      <c r="J2287" s="64">
        <v>3550000</v>
      </c>
      <c r="K2287" s="59"/>
      <c r="L2287" s="59">
        <f>SUM(J2287:K2287)</f>
        <v>3550000</v>
      </c>
    </row>
    <row r="2288" spans="2:12" x14ac:dyDescent="0.2">
      <c r="B2288" s="49"/>
      <c r="D2288" s="519"/>
      <c r="E2288" s="579"/>
      <c r="F2288" s="311"/>
      <c r="G2288" s="55" t="s">
        <v>37</v>
      </c>
      <c r="H2288" s="312"/>
      <c r="I2288" s="220" t="s">
        <v>38</v>
      </c>
      <c r="J2288" s="64">
        <f>SUM(J2287:J2287)</f>
        <v>3550000</v>
      </c>
      <c r="K2288" s="59"/>
      <c r="L2288" s="59">
        <f>SUM(J2287:K2287)</f>
        <v>3550000</v>
      </c>
    </row>
    <row r="2289" spans="1:12" x14ac:dyDescent="0.2">
      <c r="B2289" s="49"/>
      <c r="D2289" s="519"/>
      <c r="E2289" s="579"/>
      <c r="F2289" s="311"/>
      <c r="G2289" s="47"/>
      <c r="H2289" s="313"/>
      <c r="I2289" s="229" t="s">
        <v>710</v>
      </c>
      <c r="J2289" s="56">
        <f>SUM(J2288)</f>
        <v>3550000</v>
      </c>
      <c r="K2289" s="60"/>
      <c r="L2289" s="60">
        <f>SUM(L2288)</f>
        <v>3550000</v>
      </c>
    </row>
    <row r="2290" spans="1:12" x14ac:dyDescent="0.2">
      <c r="B2290" s="49"/>
      <c r="D2290" s="519"/>
      <c r="E2290" s="579"/>
      <c r="F2290" s="311"/>
      <c r="G2290" s="47"/>
      <c r="H2290" s="312"/>
      <c r="I2290" s="114"/>
      <c r="J2290" s="261"/>
      <c r="K2290" s="326"/>
      <c r="L2290" s="57"/>
    </row>
    <row r="2291" spans="1:12" ht="22.5" x14ac:dyDescent="0.2">
      <c r="B2291" s="49"/>
      <c r="D2291" s="519"/>
      <c r="E2291" s="581" t="s">
        <v>557</v>
      </c>
      <c r="F2291" s="391"/>
      <c r="G2291" s="334"/>
      <c r="H2291" s="461"/>
      <c r="I2291" s="401" t="s">
        <v>788</v>
      </c>
      <c r="J2291" s="261"/>
      <c r="K2291" s="326"/>
      <c r="L2291" s="57"/>
    </row>
    <row r="2292" spans="1:12" x14ac:dyDescent="0.2">
      <c r="A2292" s="711"/>
      <c r="B2292" s="646"/>
      <c r="C2292" s="646"/>
      <c r="D2292" s="645"/>
      <c r="E2292" s="626"/>
      <c r="F2292" s="311">
        <v>465</v>
      </c>
      <c r="G2292" s="47"/>
      <c r="H2292" s="311">
        <v>511</v>
      </c>
      <c r="I2292" s="220" t="s">
        <v>20</v>
      </c>
      <c r="J2292" s="64">
        <v>500000</v>
      </c>
      <c r="K2292" s="59"/>
      <c r="L2292" s="59">
        <f>SUM(J2292:K2292)</f>
        <v>500000</v>
      </c>
    </row>
    <row r="2293" spans="1:12" x14ac:dyDescent="0.2">
      <c r="E2293" s="579"/>
      <c r="F2293" s="311"/>
      <c r="G2293" s="55" t="s">
        <v>37</v>
      </c>
      <c r="H2293" s="313"/>
      <c r="I2293" s="220" t="s">
        <v>38</v>
      </c>
      <c r="J2293" s="64">
        <f>SUM(J2292)</f>
        <v>500000</v>
      </c>
      <c r="K2293" s="59"/>
      <c r="L2293" s="59">
        <f>SUM(J2292:K2292)</f>
        <v>500000</v>
      </c>
    </row>
    <row r="2294" spans="1:12" x14ac:dyDescent="0.2">
      <c r="A2294" s="795"/>
      <c r="B2294" s="795"/>
      <c r="C2294" s="181"/>
      <c r="D2294" s="795"/>
      <c r="E2294" s="796"/>
      <c r="F2294" s="442"/>
      <c r="G2294" s="47"/>
      <c r="H2294" s="313"/>
      <c r="I2294" s="229" t="s">
        <v>710</v>
      </c>
      <c r="J2294" s="56">
        <f>SUM(J2293)</f>
        <v>500000</v>
      </c>
      <c r="K2294" s="60"/>
      <c r="L2294" s="60">
        <f>SUM(L2293)</f>
        <v>500000</v>
      </c>
    </row>
    <row r="2295" spans="1:12" x14ac:dyDescent="0.2">
      <c r="A2295" s="502"/>
      <c r="B2295" s="502"/>
      <c r="C2295" s="22"/>
      <c r="D2295" s="502"/>
    </row>
    <row r="2296" spans="1:12" x14ac:dyDescent="0.2">
      <c r="A2296" s="502"/>
      <c r="B2296" s="502"/>
      <c r="C2296" s="22"/>
      <c r="D2296" s="502"/>
      <c r="I2296" s="268" t="s">
        <v>709</v>
      </c>
      <c r="J2296" s="390">
        <f>SUM(J2214+J2128+J1977+J1823+J1791+J1659+J1622+J1589+J1522+J1037+J957+J882+J828+J692+J471+J447+J333+J319+J294+J271+J234)</f>
        <v>5895500000.000001</v>
      </c>
      <c r="K2296" s="390">
        <f>SUM(K2214+K2128+K1977+K1823+K1791+K1659+K1622+K1589+K1522+K1037+K957+K882+K828+K692+K471+K447+K333+K319+K294+K271+K234)</f>
        <v>26698050</v>
      </c>
      <c r="L2296" s="390">
        <f>SUM(L2214+L2128+L1977+L1823+L1791+L1659+L1622+L1589+L1522+L1037+L957+L882+L828+L692+L471+L447+L333+L319+L294+L271+L234)</f>
        <v>5922198050.000001</v>
      </c>
    </row>
    <row r="2297" spans="1:12" x14ac:dyDescent="0.2">
      <c r="A2297" s="502"/>
      <c r="B2297" s="502"/>
      <c r="C2297" s="22"/>
      <c r="D2297" s="502"/>
    </row>
    <row r="2298" spans="1:12" ht="15" x14ac:dyDescent="0.2">
      <c r="A2298" s="502"/>
      <c r="B2298" s="502"/>
      <c r="C2298" s="22"/>
      <c r="D2298" s="197" t="s">
        <v>940</v>
      </c>
      <c r="E2298" s="846"/>
      <c r="F2298" s="847"/>
      <c r="G2298" s="848"/>
      <c r="H2298" s="195"/>
      <c r="I2298" s="179"/>
    </row>
    <row r="2299" spans="1:12" x14ac:dyDescent="0.2">
      <c r="A2299" s="502"/>
      <c r="B2299" s="502"/>
      <c r="C2299" s="22"/>
      <c r="D2299" s="502"/>
    </row>
    <row r="2300" spans="1:12" x14ac:dyDescent="0.2">
      <c r="A2300" s="502"/>
      <c r="B2300" s="502"/>
      <c r="C2300" s="22"/>
      <c r="D2300" s="502"/>
      <c r="I2300" s="878" t="s">
        <v>941</v>
      </c>
      <c r="J2300" s="59">
        <f>SUMIF($G$234:$G$2294,1,(J$234:J$2294))</f>
        <v>4555462596.1799994</v>
      </c>
      <c r="K2300" s="59">
        <f>SUMIF($G$234:$G$2294,1,(K$234:K$2294))</f>
        <v>0</v>
      </c>
      <c r="L2300" s="59">
        <f>SUM(J2300:K2300)</f>
        <v>4555462596.1799994</v>
      </c>
    </row>
    <row r="2301" spans="1:12" x14ac:dyDescent="0.2">
      <c r="A2301" s="502"/>
      <c r="B2301" s="502"/>
      <c r="C2301" s="22"/>
      <c r="D2301" s="502"/>
      <c r="I2301" s="879" t="s">
        <v>942</v>
      </c>
      <c r="J2301" s="59"/>
      <c r="K2301" s="59">
        <f>SUMIF($G$234:$G$2294,4,(K$234:K$2294))</f>
        <v>8548050</v>
      </c>
      <c r="L2301" s="59">
        <f t="shared" ref="L2301:L2307" si="139">SUM(J2301:K2301)</f>
        <v>8548050</v>
      </c>
    </row>
    <row r="2302" spans="1:12" x14ac:dyDescent="0.2">
      <c r="A2302" s="502"/>
      <c r="B2302" s="502"/>
      <c r="C2302" s="22"/>
      <c r="D2302" s="502"/>
      <c r="I2302" s="879" t="s">
        <v>943</v>
      </c>
      <c r="J2302" s="59">
        <f>SUMIF($G$234:$G$2294,6,(J$234:J$2294))</f>
        <v>42767000</v>
      </c>
      <c r="K2302" s="59">
        <f>SUMIF($G$234:$G$2294,6,(K$234:K$2294))</f>
        <v>0</v>
      </c>
      <c r="L2302" s="59">
        <f t="shared" si="139"/>
        <v>42767000</v>
      </c>
    </row>
    <row r="2303" spans="1:12" x14ac:dyDescent="0.2">
      <c r="A2303" s="502"/>
      <c r="B2303" s="502"/>
      <c r="C2303" s="22"/>
      <c r="D2303" s="502"/>
      <c r="I2303" s="879" t="s">
        <v>944</v>
      </c>
      <c r="J2303" s="59">
        <f>SUMIF($G$234:$G$2294,7,(J$234:J$2294))</f>
        <v>709144052.72000003</v>
      </c>
      <c r="K2303" s="59">
        <f>SUMIF($G$234:$G$2294,7,(K$234:K$2294))</f>
        <v>11200000</v>
      </c>
      <c r="L2303" s="59">
        <f t="shared" si="139"/>
        <v>720344052.72000003</v>
      </c>
    </row>
    <row r="2304" spans="1:12" x14ac:dyDescent="0.2">
      <c r="A2304" s="502"/>
      <c r="B2304" s="502"/>
      <c r="C2304" s="22"/>
      <c r="D2304" s="502"/>
      <c r="I2304" s="879" t="s">
        <v>945</v>
      </c>
      <c r="J2304" s="59">
        <f>SUMIF($G$234:$G$2294,8,(J$234:J$2294))</f>
        <v>0</v>
      </c>
      <c r="K2304" s="59">
        <f>SUMIF($G$234:$G$2294,8,(K$234:K$2294))</f>
        <v>500000</v>
      </c>
      <c r="L2304" s="59">
        <f t="shared" si="139"/>
        <v>500000</v>
      </c>
    </row>
    <row r="2305" spans="1:12" x14ac:dyDescent="0.2">
      <c r="A2305" s="502"/>
      <c r="B2305" s="502"/>
      <c r="C2305" s="22"/>
      <c r="D2305" s="502"/>
      <c r="I2305" s="879" t="s">
        <v>946</v>
      </c>
      <c r="J2305" s="59">
        <f>SUMIF($G$234:$G$2294,9,(J$234:J$2294))</f>
        <v>0</v>
      </c>
      <c r="K2305" s="59">
        <f>SUMIF($G$234:$G$2294,9,(K$234:K$2294))</f>
        <v>4950000</v>
      </c>
      <c r="L2305" s="59">
        <f t="shared" si="139"/>
        <v>4950000</v>
      </c>
    </row>
    <row r="2306" spans="1:12" x14ac:dyDescent="0.2">
      <c r="A2306" s="502"/>
      <c r="B2306" s="502"/>
      <c r="C2306" s="22"/>
      <c r="D2306" s="502"/>
      <c r="I2306" s="879" t="s">
        <v>947</v>
      </c>
      <c r="J2306" s="59">
        <f>SUMIF($G$234:$G$2294,10,(J$234:J$2294))</f>
        <v>588126351.10000002</v>
      </c>
      <c r="K2306" s="59">
        <f>SUMIF($G$234:$G$2294,10,(K$234:K$2294))</f>
        <v>0</v>
      </c>
      <c r="L2306" s="59">
        <f t="shared" si="139"/>
        <v>588126351.10000002</v>
      </c>
    </row>
    <row r="2307" spans="1:12" x14ac:dyDescent="0.2">
      <c r="A2307" s="502"/>
      <c r="B2307" s="502"/>
      <c r="C2307" s="22"/>
      <c r="D2307" s="502"/>
      <c r="I2307" s="879" t="s">
        <v>948</v>
      </c>
      <c r="J2307" s="59">
        <f>SUMIF($G$234:$G$2294,16,(J$234:J$2294))</f>
        <v>0</v>
      </c>
      <c r="K2307" s="59">
        <f>SUMIF($G$234:$G$2294,16,(K$234:K$2294))</f>
        <v>1500000</v>
      </c>
      <c r="L2307" s="59">
        <f t="shared" si="139"/>
        <v>1500000</v>
      </c>
    </row>
    <row r="2308" spans="1:12" x14ac:dyDescent="0.2">
      <c r="A2308" s="502"/>
      <c r="B2308" s="502"/>
      <c r="C2308" s="22"/>
      <c r="D2308" s="502"/>
      <c r="I2308" s="829" t="s">
        <v>780</v>
      </c>
      <c r="J2308" s="60">
        <f>SUM(J2300:J2307)</f>
        <v>5895500000</v>
      </c>
      <c r="K2308" s="60">
        <f t="shared" ref="K2308" si="140">SUM(K2300:K2307)</f>
        <v>26698050</v>
      </c>
      <c r="L2308" s="60">
        <f>SUM(L2300:L2307)</f>
        <v>5922198050</v>
      </c>
    </row>
    <row r="2309" spans="1:12" x14ac:dyDescent="0.2">
      <c r="A2309" s="502"/>
      <c r="B2309" s="502"/>
      <c r="C2309" s="22"/>
      <c r="D2309" s="502"/>
    </row>
    <row r="2310" spans="1:12" x14ac:dyDescent="0.2">
      <c r="A2310" s="822"/>
      <c r="B2310" s="822"/>
      <c r="C2310" s="822"/>
      <c r="D2310" s="822"/>
      <c r="E2310" s="822"/>
      <c r="F2310" s="822"/>
      <c r="G2310" s="823"/>
      <c r="H2310" s="824"/>
      <c r="I2310" s="823"/>
      <c r="J2310" s="823"/>
      <c r="K2310" s="587"/>
    </row>
    <row r="2311" spans="1:12" x14ac:dyDescent="0.2">
      <c r="A2311" s="1059" t="s">
        <v>773</v>
      </c>
      <c r="B2311" s="1059"/>
      <c r="C2311" s="1059"/>
      <c r="D2311" s="1059"/>
      <c r="E2311" s="1059"/>
      <c r="F2311" s="1059"/>
      <c r="G2311" s="1059"/>
      <c r="H2311" s="1059"/>
      <c r="I2311" s="1059"/>
      <c r="J2311" s="1059"/>
      <c r="K2311" s="1059"/>
    </row>
    <row r="2312" spans="1:12" x14ac:dyDescent="0.2">
      <c r="A2312" s="822"/>
      <c r="B2312" s="822"/>
      <c r="C2312" s="822"/>
      <c r="D2312" s="822"/>
      <c r="E2312" s="822"/>
      <c r="F2312" s="822"/>
      <c r="G2312" s="823"/>
      <c r="H2312" s="824"/>
      <c r="I2312" s="588"/>
      <c r="J2312" s="588"/>
      <c r="K2312" s="587"/>
    </row>
    <row r="2313" spans="1:12" x14ac:dyDescent="0.2">
      <c r="A2313" s="818"/>
      <c r="B2313" s="818"/>
      <c r="C2313" s="818"/>
      <c r="D2313" s="818" t="s">
        <v>1073</v>
      </c>
      <c r="E2313" s="818"/>
      <c r="F2313" s="818"/>
      <c r="G2313" s="819"/>
      <c r="H2313" s="820"/>
      <c r="I2313" s="821"/>
      <c r="J2313" s="821"/>
      <c r="K2313" s="587"/>
    </row>
    <row r="2314" spans="1:12" x14ac:dyDescent="0.2">
      <c r="A2314" s="818"/>
      <c r="B2314" s="818"/>
      <c r="C2314" s="818"/>
      <c r="D2314" s="818"/>
      <c r="E2314" s="818"/>
      <c r="F2314" s="818"/>
      <c r="G2314" s="819"/>
      <c r="H2314" s="820"/>
      <c r="I2314" s="821"/>
      <c r="J2314" s="821"/>
      <c r="K2314" s="587"/>
    </row>
    <row r="2315" spans="1:12" x14ac:dyDescent="0.2">
      <c r="A2315" s="1059" t="s">
        <v>354</v>
      </c>
      <c r="B2315" s="1059"/>
      <c r="C2315" s="1059"/>
      <c r="D2315" s="1059"/>
      <c r="E2315" s="1059"/>
      <c r="F2315" s="1059"/>
      <c r="G2315" s="1059"/>
      <c r="H2315" s="1059"/>
      <c r="I2315" s="1059"/>
      <c r="J2315" s="1059"/>
      <c r="K2315" s="1059"/>
    </row>
    <row r="2316" spans="1:12" x14ac:dyDescent="0.2">
      <c r="A2316" s="822"/>
      <c r="B2316" s="822"/>
      <c r="C2316" s="822"/>
      <c r="D2316" s="822"/>
      <c r="E2316" s="822"/>
      <c r="F2316" s="822"/>
      <c r="G2316" s="823"/>
      <c r="H2316" s="824"/>
      <c r="I2316" s="588"/>
      <c r="J2316" s="588"/>
      <c r="K2316" s="587"/>
    </row>
    <row r="2317" spans="1:12" ht="15" x14ac:dyDescent="0.25">
      <c r="A2317" s="182"/>
      <c r="B2317" s="437"/>
      <c r="C2317" s="182"/>
      <c r="D2317" s="182" t="s">
        <v>1075</v>
      </c>
      <c r="E2317" s="182"/>
      <c r="F2317" s="182"/>
      <c r="G2317" s="140"/>
      <c r="H2317" s="817"/>
      <c r="I2317" s="164"/>
      <c r="J2317" s="164"/>
      <c r="K2317" s="587"/>
    </row>
    <row r="2318" spans="1:12" x14ac:dyDescent="0.2">
      <c r="A2318" s="822"/>
      <c r="B2318" s="822"/>
      <c r="C2318" s="822"/>
      <c r="D2318" s="822"/>
      <c r="E2318" s="822"/>
      <c r="F2318" s="822"/>
      <c r="G2318" s="823"/>
      <c r="H2318" s="824"/>
      <c r="I2318" s="588"/>
      <c r="J2318" s="588"/>
      <c r="K2318" s="587"/>
    </row>
    <row r="2319" spans="1:12" ht="15" x14ac:dyDescent="0.25">
      <c r="A2319" s="67"/>
      <c r="B2319" s="67"/>
      <c r="C2319" s="67"/>
      <c r="D2319" s="67"/>
      <c r="E2319" s="67"/>
      <c r="F2319" s="67"/>
      <c r="G2319" s="815"/>
      <c r="H2319" s="816"/>
      <c r="I2319" s="68"/>
      <c r="J2319" s="68"/>
      <c r="K2319" s="68"/>
    </row>
    <row r="2320" spans="1:12" ht="15" x14ac:dyDescent="0.25">
      <c r="A2320" s="182"/>
      <c r="B2320" s="437"/>
      <c r="C2320" s="182"/>
      <c r="D2320" s="182"/>
      <c r="E2320" s="182"/>
      <c r="F2320" s="182"/>
      <c r="G2320" s="140"/>
      <c r="H2320" s="817"/>
      <c r="I2320" s="164"/>
      <c r="J2320" s="164"/>
      <c r="K2320" s="587"/>
    </row>
    <row r="2321" spans="1:11" x14ac:dyDescent="0.2">
      <c r="A2321" s="1060" t="s">
        <v>774</v>
      </c>
      <c r="B2321" s="1060"/>
      <c r="C2321" s="1060"/>
      <c r="D2321" s="1060"/>
      <c r="E2321" s="1060"/>
      <c r="F2321" s="1060"/>
      <c r="G2321" s="1060"/>
      <c r="H2321" s="1060"/>
      <c r="I2321" s="1060"/>
      <c r="J2321" s="1060"/>
      <c r="K2321" s="587"/>
    </row>
    <row r="2322" spans="1:11" ht="15" x14ac:dyDescent="0.25">
      <c r="A2322" s="182"/>
      <c r="B2322" s="437"/>
      <c r="C2322" s="182" t="s">
        <v>775</v>
      </c>
      <c r="D2322" s="182"/>
      <c r="E2322" s="182"/>
      <c r="F2322" s="182"/>
      <c r="G2322" s="182"/>
      <c r="H2322" s="825"/>
      <c r="K2322" s="826"/>
    </row>
    <row r="2323" spans="1:11" ht="15" x14ac:dyDescent="0.25">
      <c r="A2323" s="182"/>
      <c r="B2323" s="437"/>
      <c r="C2323" s="182" t="s">
        <v>776</v>
      </c>
      <c r="D2323" s="182" t="s">
        <v>1077</v>
      </c>
      <c r="E2323" s="182"/>
      <c r="F2323" s="182"/>
      <c r="G2323" s="182"/>
      <c r="H2323" s="182"/>
      <c r="K2323" s="826"/>
    </row>
    <row r="2324" spans="1:11" ht="15" x14ac:dyDescent="0.25">
      <c r="A2324" s="182"/>
      <c r="B2324" s="437"/>
      <c r="C2324" s="182" t="s">
        <v>777</v>
      </c>
      <c r="D2324" s="182" t="s">
        <v>1078</v>
      </c>
      <c r="E2324" s="182"/>
      <c r="F2324" s="182"/>
      <c r="G2324" s="182"/>
      <c r="H2324" s="825"/>
      <c r="K2324" s="826"/>
    </row>
    <row r="2325" spans="1:11" ht="15" x14ac:dyDescent="0.25">
      <c r="A2325" s="182"/>
      <c r="B2325" s="437"/>
      <c r="C2325" s="182" t="s">
        <v>779</v>
      </c>
      <c r="D2325" s="182"/>
      <c r="E2325" s="182"/>
      <c r="F2325" s="182"/>
      <c r="G2325" s="182"/>
      <c r="H2325" s="182"/>
      <c r="I2325" s="825"/>
      <c r="J2325" s="182" t="s">
        <v>1076</v>
      </c>
      <c r="K2325" s="826"/>
    </row>
    <row r="2326" spans="1:11" ht="15" x14ac:dyDescent="0.25">
      <c r="A2326"/>
      <c r="B2326" s="163"/>
      <c r="C2326" s="163"/>
      <c r="D2326" s="163"/>
      <c r="E2326" s="163"/>
      <c r="F2326" s="163"/>
      <c r="G2326" s="163"/>
      <c r="H2326" s="165"/>
      <c r="I2326" s="164"/>
      <c r="J2326" s="825"/>
      <c r="K2326" s="587"/>
    </row>
    <row r="2327" spans="1:11" x14ac:dyDescent="0.2">
      <c r="A2327" s="827"/>
      <c r="B2327" s="827"/>
      <c r="C2327" s="827"/>
      <c r="D2327" s="827"/>
      <c r="E2327" s="827"/>
      <c r="F2327" s="827"/>
      <c r="G2327" s="827"/>
      <c r="H2327" s="828"/>
      <c r="I2327" s="587"/>
      <c r="J2327" s="182" t="s">
        <v>778</v>
      </c>
      <c r="K2327" s="587"/>
    </row>
    <row r="2328" spans="1:11" x14ac:dyDescent="0.2">
      <c r="A2328" s="502"/>
      <c r="B2328" s="502"/>
      <c r="C2328" s="22"/>
      <c r="D2328" s="502"/>
    </row>
    <row r="2329" spans="1:11" x14ac:dyDescent="0.2">
      <c r="A2329" s="502"/>
      <c r="B2329" s="502"/>
      <c r="C2329" s="22"/>
      <c r="D2329" s="502"/>
    </row>
    <row r="2330" spans="1:11" x14ac:dyDescent="0.2">
      <c r="A2330" s="502"/>
      <c r="B2330" s="502"/>
      <c r="C2330" s="22"/>
      <c r="D2330" s="502"/>
    </row>
    <row r="2331" spans="1:11" x14ac:dyDescent="0.2">
      <c r="A2331" s="502"/>
      <c r="B2331" s="502"/>
      <c r="C2331" s="22"/>
      <c r="D2331" s="502"/>
    </row>
    <row r="2332" spans="1:11" x14ac:dyDescent="0.2">
      <c r="A2332" s="502"/>
      <c r="B2332" s="502"/>
      <c r="C2332" s="22"/>
      <c r="D2332" s="502"/>
    </row>
    <row r="2333" spans="1:11" x14ac:dyDescent="0.2">
      <c r="A2333" s="502"/>
      <c r="B2333" s="502"/>
      <c r="C2333" s="22"/>
      <c r="D2333" s="502"/>
    </row>
    <row r="2334" spans="1:11" x14ac:dyDescent="0.2">
      <c r="A2334" s="502"/>
      <c r="B2334" s="502"/>
      <c r="C2334" s="22"/>
      <c r="D2334" s="502"/>
    </row>
    <row r="2335" spans="1:11" x14ac:dyDescent="0.2">
      <c r="A2335" s="502"/>
      <c r="B2335" s="502"/>
      <c r="C2335" s="22"/>
      <c r="D2335" s="502"/>
    </row>
    <row r="2336" spans="1:11" x14ac:dyDescent="0.2">
      <c r="A2336" s="502"/>
      <c r="B2336" s="502"/>
      <c r="C2336" s="22"/>
      <c r="D2336" s="502"/>
    </row>
    <row r="2337" spans="1:4" x14ac:dyDescent="0.2">
      <c r="A2337" s="502"/>
      <c r="B2337" s="502"/>
      <c r="C2337" s="22"/>
      <c r="D2337" s="502"/>
    </row>
    <row r="2338" spans="1:4" x14ac:dyDescent="0.2">
      <c r="A2338" s="502"/>
      <c r="B2338" s="502"/>
      <c r="C2338" s="22"/>
      <c r="D2338" s="502"/>
    </row>
    <row r="2339" spans="1:4" x14ac:dyDescent="0.2">
      <c r="A2339" s="502"/>
      <c r="B2339" s="502"/>
      <c r="C2339" s="22"/>
      <c r="D2339" s="502"/>
    </row>
    <row r="2340" spans="1:4" x14ac:dyDescent="0.2">
      <c r="A2340" s="502"/>
      <c r="B2340" s="502"/>
      <c r="C2340" s="22"/>
      <c r="D2340" s="502"/>
    </row>
    <row r="2341" spans="1:4" x14ac:dyDescent="0.2">
      <c r="A2341" s="502"/>
      <c r="B2341" s="502"/>
      <c r="C2341" s="22"/>
      <c r="D2341" s="502"/>
    </row>
    <row r="2342" spans="1:4" x14ac:dyDescent="0.2">
      <c r="A2342" s="502"/>
      <c r="B2342" s="502"/>
      <c r="C2342" s="22"/>
      <c r="D2342" s="502"/>
    </row>
    <row r="2343" spans="1:4" x14ac:dyDescent="0.2">
      <c r="A2343" s="502"/>
      <c r="B2343" s="502"/>
      <c r="C2343" s="22"/>
      <c r="D2343" s="502"/>
    </row>
    <row r="2344" spans="1:4" x14ac:dyDescent="0.2">
      <c r="A2344" s="502"/>
      <c r="B2344" s="502"/>
      <c r="C2344" s="22"/>
      <c r="D2344" s="502"/>
    </row>
    <row r="2345" spans="1:4" x14ac:dyDescent="0.2">
      <c r="A2345" s="502"/>
      <c r="B2345" s="502"/>
      <c r="C2345" s="22"/>
      <c r="D2345" s="502"/>
    </row>
    <row r="2346" spans="1:4" x14ac:dyDescent="0.2">
      <c r="A2346" s="502"/>
      <c r="B2346" s="502"/>
      <c r="C2346" s="22"/>
      <c r="D2346" s="502"/>
    </row>
    <row r="2347" spans="1:4" x14ac:dyDescent="0.2">
      <c r="A2347" s="502"/>
      <c r="B2347" s="502"/>
      <c r="C2347" s="22"/>
      <c r="D2347" s="502"/>
    </row>
    <row r="2348" spans="1:4" x14ac:dyDescent="0.2">
      <c r="A2348" s="502"/>
      <c r="B2348" s="502"/>
      <c r="C2348" s="22"/>
      <c r="D2348" s="502"/>
    </row>
    <row r="2349" spans="1:4" x14ac:dyDescent="0.2">
      <c r="A2349" s="502"/>
      <c r="B2349" s="502"/>
      <c r="C2349" s="22"/>
      <c r="D2349" s="502"/>
    </row>
    <row r="2350" spans="1:4" x14ac:dyDescent="0.2">
      <c r="A2350" s="502"/>
      <c r="B2350" s="502"/>
      <c r="C2350" s="22"/>
      <c r="D2350" s="502"/>
    </row>
    <row r="2351" spans="1:4" x14ac:dyDescent="0.2">
      <c r="A2351" s="502"/>
      <c r="B2351" s="502"/>
      <c r="C2351" s="22"/>
      <c r="D2351" s="502"/>
    </row>
    <row r="2352" spans="1:4" x14ac:dyDescent="0.2">
      <c r="A2352" s="502"/>
      <c r="B2352" s="502"/>
      <c r="C2352" s="22"/>
      <c r="D2352" s="502"/>
    </row>
    <row r="2353" spans="1:4" x14ac:dyDescent="0.2">
      <c r="A2353" s="502"/>
      <c r="B2353" s="502"/>
      <c r="C2353" s="22"/>
      <c r="D2353" s="502"/>
    </row>
    <row r="2354" spans="1:4" x14ac:dyDescent="0.2">
      <c r="A2354" s="502"/>
      <c r="B2354" s="502"/>
      <c r="C2354" s="22"/>
      <c r="D2354" s="502"/>
    </row>
    <row r="2355" spans="1:4" x14ac:dyDescent="0.2">
      <c r="A2355" s="502"/>
      <c r="B2355" s="502"/>
      <c r="C2355" s="22"/>
      <c r="D2355" s="502"/>
    </row>
    <row r="2356" spans="1:4" x14ac:dyDescent="0.2">
      <c r="A2356" s="502"/>
      <c r="B2356" s="502"/>
      <c r="C2356" s="22"/>
      <c r="D2356" s="502"/>
    </row>
    <row r="2357" spans="1:4" x14ac:dyDescent="0.2">
      <c r="A2357" s="502"/>
      <c r="B2357" s="502"/>
      <c r="C2357" s="22"/>
      <c r="D2357" s="502"/>
    </row>
    <row r="2358" spans="1:4" x14ac:dyDescent="0.2">
      <c r="A2358" s="502"/>
      <c r="B2358" s="502"/>
      <c r="C2358" s="22"/>
      <c r="D2358" s="502"/>
    </row>
    <row r="2359" spans="1:4" x14ac:dyDescent="0.2">
      <c r="A2359" s="502"/>
      <c r="B2359" s="502"/>
      <c r="C2359" s="22"/>
      <c r="D2359" s="502"/>
    </row>
    <row r="2360" spans="1:4" x14ac:dyDescent="0.2">
      <c r="A2360" s="502"/>
      <c r="B2360" s="502"/>
      <c r="C2360" s="22"/>
      <c r="D2360" s="502"/>
    </row>
    <row r="2361" spans="1:4" x14ac:dyDescent="0.2">
      <c r="A2361" s="502"/>
      <c r="B2361" s="502"/>
      <c r="C2361" s="22"/>
      <c r="D2361" s="502"/>
    </row>
    <row r="2362" spans="1:4" x14ac:dyDescent="0.2">
      <c r="A2362" s="502"/>
      <c r="B2362" s="502"/>
      <c r="C2362" s="22"/>
      <c r="D2362" s="502"/>
    </row>
    <row r="2363" spans="1:4" x14ac:dyDescent="0.2">
      <c r="A2363" s="502"/>
      <c r="B2363" s="502"/>
      <c r="C2363" s="22"/>
      <c r="D2363" s="502"/>
    </row>
    <row r="2364" spans="1:4" x14ac:dyDescent="0.2">
      <c r="A2364" s="502"/>
      <c r="B2364" s="502"/>
      <c r="C2364" s="22"/>
      <c r="D2364" s="502"/>
    </row>
    <row r="2365" spans="1:4" x14ac:dyDescent="0.2">
      <c r="A2365" s="502"/>
      <c r="B2365" s="502"/>
      <c r="C2365" s="22"/>
      <c r="D2365" s="502"/>
    </row>
    <row r="2366" spans="1:4" x14ac:dyDescent="0.2">
      <c r="A2366" s="502"/>
      <c r="B2366" s="502"/>
      <c r="C2366" s="22"/>
      <c r="D2366" s="502"/>
    </row>
    <row r="2367" spans="1:4" x14ac:dyDescent="0.2">
      <c r="A2367" s="502"/>
      <c r="B2367" s="502"/>
      <c r="C2367" s="22"/>
      <c r="D2367" s="502"/>
    </row>
    <row r="2368" spans="1:4" x14ac:dyDescent="0.2">
      <c r="A2368" s="502"/>
      <c r="B2368" s="502"/>
      <c r="C2368" s="22"/>
      <c r="D2368" s="502"/>
    </row>
    <row r="2369" spans="1:4" x14ac:dyDescent="0.2">
      <c r="A2369" s="502"/>
      <c r="B2369" s="502"/>
      <c r="C2369" s="22"/>
      <c r="D2369" s="502"/>
    </row>
    <row r="2370" spans="1:4" x14ac:dyDescent="0.2">
      <c r="A2370" s="502"/>
      <c r="B2370" s="502"/>
      <c r="C2370" s="22"/>
      <c r="D2370" s="502"/>
    </row>
    <row r="2371" spans="1:4" x14ac:dyDescent="0.2">
      <c r="A2371" s="502"/>
      <c r="B2371" s="502"/>
      <c r="C2371" s="22"/>
      <c r="D2371" s="502"/>
    </row>
    <row r="2372" spans="1:4" x14ac:dyDescent="0.2">
      <c r="A2372" s="502"/>
      <c r="B2372" s="502"/>
      <c r="C2372" s="22"/>
      <c r="D2372" s="502"/>
    </row>
    <row r="2373" spans="1:4" x14ac:dyDescent="0.2">
      <c r="A2373" s="502"/>
      <c r="B2373" s="502"/>
      <c r="C2373" s="22"/>
      <c r="D2373" s="502"/>
    </row>
    <row r="2374" spans="1:4" x14ac:dyDescent="0.2">
      <c r="A2374" s="502"/>
      <c r="B2374" s="502"/>
      <c r="C2374" s="22"/>
      <c r="D2374" s="502"/>
    </row>
    <row r="2375" spans="1:4" x14ac:dyDescent="0.2">
      <c r="A2375" s="502"/>
      <c r="B2375" s="502"/>
      <c r="C2375" s="22"/>
      <c r="D2375" s="502"/>
    </row>
    <row r="2376" spans="1:4" x14ac:dyDescent="0.2">
      <c r="A2376" s="502"/>
      <c r="B2376" s="502"/>
      <c r="C2376" s="22"/>
      <c r="D2376" s="502"/>
    </row>
    <row r="2377" spans="1:4" x14ac:dyDescent="0.2">
      <c r="A2377" s="502"/>
      <c r="B2377" s="502"/>
      <c r="C2377" s="22"/>
      <c r="D2377" s="502"/>
    </row>
    <row r="2378" spans="1:4" x14ac:dyDescent="0.2">
      <c r="A2378" s="502"/>
      <c r="B2378" s="502"/>
      <c r="C2378" s="22"/>
      <c r="D2378" s="502"/>
    </row>
    <row r="2379" spans="1:4" x14ac:dyDescent="0.2">
      <c r="A2379" s="502"/>
      <c r="B2379" s="502"/>
      <c r="C2379" s="22"/>
      <c r="D2379" s="502"/>
    </row>
    <row r="2380" spans="1:4" x14ac:dyDescent="0.2">
      <c r="A2380" s="502"/>
      <c r="B2380" s="502"/>
      <c r="C2380" s="22"/>
      <c r="D2380" s="502"/>
    </row>
    <row r="2381" spans="1:4" x14ac:dyDescent="0.2">
      <c r="A2381" s="502"/>
      <c r="B2381" s="502"/>
      <c r="C2381" s="22"/>
      <c r="D2381" s="502"/>
    </row>
    <row r="2382" spans="1:4" x14ac:dyDescent="0.2">
      <c r="A2382" s="502"/>
      <c r="B2382" s="502"/>
      <c r="C2382" s="22"/>
      <c r="D2382" s="502"/>
    </row>
    <row r="2383" spans="1:4" x14ac:dyDescent="0.2">
      <c r="A2383" s="502"/>
      <c r="B2383" s="502"/>
      <c r="C2383" s="22"/>
      <c r="D2383" s="502"/>
    </row>
    <row r="2384" spans="1:4" x14ac:dyDescent="0.2">
      <c r="A2384" s="502"/>
      <c r="B2384" s="502"/>
      <c r="C2384" s="22"/>
      <c r="D2384" s="502"/>
    </row>
    <row r="2385" spans="1:4" x14ac:dyDescent="0.2">
      <c r="A2385" s="502"/>
      <c r="B2385" s="502"/>
      <c r="C2385" s="22"/>
      <c r="D2385" s="502"/>
    </row>
    <row r="2386" spans="1:4" x14ac:dyDescent="0.2">
      <c r="A2386" s="502"/>
      <c r="B2386" s="502"/>
      <c r="C2386" s="22"/>
      <c r="D2386" s="502"/>
    </row>
    <row r="2387" spans="1:4" x14ac:dyDescent="0.2">
      <c r="A2387" s="502"/>
      <c r="B2387" s="502"/>
      <c r="C2387" s="22"/>
      <c r="D2387" s="502"/>
    </row>
    <row r="2388" spans="1:4" x14ac:dyDescent="0.2">
      <c r="A2388" s="502"/>
      <c r="B2388" s="502"/>
      <c r="C2388" s="22"/>
      <c r="D2388" s="502"/>
    </row>
    <row r="2389" spans="1:4" x14ac:dyDescent="0.2">
      <c r="A2389" s="502"/>
      <c r="B2389" s="502"/>
      <c r="C2389" s="22"/>
      <c r="D2389" s="502"/>
    </row>
    <row r="2390" spans="1:4" x14ac:dyDescent="0.2">
      <c r="A2390" s="502"/>
      <c r="B2390" s="502"/>
      <c r="C2390" s="22"/>
      <c r="D2390" s="502"/>
    </row>
    <row r="2391" spans="1:4" x14ac:dyDescent="0.2">
      <c r="A2391" s="502"/>
      <c r="B2391" s="502"/>
      <c r="C2391" s="22"/>
      <c r="D2391" s="502"/>
    </row>
    <row r="2392" spans="1:4" x14ac:dyDescent="0.2">
      <c r="A2392" s="502"/>
      <c r="B2392" s="502"/>
      <c r="C2392" s="22"/>
      <c r="D2392" s="502"/>
    </row>
    <row r="2393" spans="1:4" x14ac:dyDescent="0.2">
      <c r="A2393" s="502"/>
      <c r="B2393" s="502"/>
      <c r="C2393" s="22"/>
      <c r="D2393" s="502"/>
    </row>
    <row r="2394" spans="1:4" x14ac:dyDescent="0.2">
      <c r="A2394" s="502"/>
      <c r="B2394" s="502"/>
      <c r="C2394" s="22"/>
      <c r="D2394" s="502"/>
    </row>
    <row r="2395" spans="1:4" x14ac:dyDescent="0.2">
      <c r="A2395" s="502"/>
      <c r="B2395" s="502"/>
      <c r="C2395" s="22"/>
      <c r="D2395" s="502"/>
    </row>
    <row r="2396" spans="1:4" x14ac:dyDescent="0.2">
      <c r="A2396" s="502"/>
      <c r="B2396" s="502"/>
      <c r="C2396" s="22"/>
      <c r="D2396" s="502"/>
    </row>
    <row r="2397" spans="1:4" x14ac:dyDescent="0.2">
      <c r="A2397" s="502"/>
      <c r="B2397" s="502"/>
      <c r="C2397" s="22"/>
      <c r="D2397" s="502"/>
    </row>
    <row r="2398" spans="1:4" x14ac:dyDescent="0.2">
      <c r="A2398" s="502"/>
      <c r="B2398" s="502"/>
      <c r="C2398" s="22"/>
      <c r="D2398" s="502"/>
    </row>
    <row r="2399" spans="1:4" x14ac:dyDescent="0.2">
      <c r="A2399" s="502"/>
      <c r="B2399" s="502"/>
      <c r="C2399" s="22"/>
      <c r="D2399" s="502"/>
    </row>
    <row r="2400" spans="1:4" x14ac:dyDescent="0.2">
      <c r="A2400" s="502"/>
      <c r="B2400" s="502"/>
      <c r="C2400" s="22"/>
      <c r="D2400" s="502"/>
    </row>
    <row r="2401" spans="1:4" x14ac:dyDescent="0.2">
      <c r="A2401" s="502"/>
      <c r="B2401" s="502"/>
      <c r="C2401" s="22"/>
      <c r="D2401" s="502"/>
    </row>
    <row r="2402" spans="1:4" x14ac:dyDescent="0.2">
      <c r="A2402" s="502"/>
      <c r="B2402" s="502"/>
      <c r="C2402" s="22"/>
      <c r="D2402" s="502"/>
    </row>
    <row r="2403" spans="1:4" x14ac:dyDescent="0.2">
      <c r="A2403" s="502"/>
      <c r="B2403" s="502"/>
      <c r="C2403" s="22"/>
      <c r="D2403" s="502"/>
    </row>
    <row r="2404" spans="1:4" x14ac:dyDescent="0.2">
      <c r="A2404" s="502"/>
      <c r="B2404" s="502"/>
      <c r="C2404" s="22"/>
      <c r="D2404" s="502"/>
    </row>
    <row r="2405" spans="1:4" x14ac:dyDescent="0.2">
      <c r="A2405" s="502"/>
      <c r="B2405" s="502"/>
      <c r="C2405" s="22"/>
      <c r="D2405" s="502"/>
    </row>
    <row r="2406" spans="1:4" x14ac:dyDescent="0.2">
      <c r="A2406" s="502"/>
      <c r="B2406" s="502"/>
      <c r="C2406" s="22"/>
      <c r="D2406" s="502"/>
    </row>
    <row r="2407" spans="1:4" x14ac:dyDescent="0.2">
      <c r="A2407" s="502"/>
      <c r="B2407" s="502"/>
      <c r="C2407" s="22"/>
      <c r="D2407" s="502"/>
    </row>
    <row r="2408" spans="1:4" x14ac:dyDescent="0.2">
      <c r="A2408" s="502"/>
      <c r="B2408" s="502"/>
      <c r="C2408" s="22"/>
      <c r="D2408" s="502"/>
    </row>
    <row r="2409" spans="1:4" x14ac:dyDescent="0.2">
      <c r="A2409" s="502"/>
      <c r="B2409" s="502"/>
      <c r="C2409" s="22"/>
      <c r="D2409" s="502"/>
    </row>
    <row r="2410" spans="1:4" x14ac:dyDescent="0.2">
      <c r="A2410" s="502"/>
      <c r="B2410" s="502"/>
      <c r="C2410" s="22"/>
      <c r="D2410" s="502"/>
    </row>
    <row r="2411" spans="1:4" x14ac:dyDescent="0.2">
      <c r="A2411" s="502"/>
      <c r="B2411" s="502"/>
      <c r="C2411" s="22"/>
      <c r="D2411" s="502"/>
    </row>
    <row r="2412" spans="1:4" x14ac:dyDescent="0.2">
      <c r="A2412" s="502"/>
      <c r="B2412" s="502"/>
      <c r="C2412" s="22"/>
      <c r="D2412" s="502"/>
    </row>
    <row r="2413" spans="1:4" x14ac:dyDescent="0.2">
      <c r="A2413" s="502"/>
      <c r="B2413" s="502"/>
      <c r="C2413" s="22"/>
      <c r="D2413" s="502"/>
    </row>
    <row r="2414" spans="1:4" x14ac:dyDescent="0.2">
      <c r="A2414" s="502"/>
      <c r="B2414" s="502"/>
      <c r="C2414" s="22"/>
      <c r="D2414" s="502"/>
    </row>
    <row r="2415" spans="1:4" x14ac:dyDescent="0.2">
      <c r="A2415" s="502"/>
      <c r="B2415" s="502"/>
      <c r="C2415" s="22"/>
      <c r="D2415" s="502"/>
    </row>
    <row r="2416" spans="1:4" x14ac:dyDescent="0.2">
      <c r="A2416" s="502"/>
      <c r="B2416" s="502"/>
      <c r="C2416" s="22"/>
      <c r="D2416" s="502"/>
    </row>
    <row r="2417" spans="1:4" x14ac:dyDescent="0.2">
      <c r="A2417" s="502"/>
      <c r="B2417" s="502"/>
      <c r="C2417" s="22"/>
      <c r="D2417" s="502"/>
    </row>
    <row r="2418" spans="1:4" x14ac:dyDescent="0.2">
      <c r="A2418" s="502"/>
      <c r="B2418" s="502"/>
      <c r="C2418" s="22"/>
      <c r="D2418" s="502"/>
    </row>
    <row r="2419" spans="1:4" x14ac:dyDescent="0.2">
      <c r="A2419" s="502"/>
      <c r="B2419" s="502"/>
      <c r="C2419" s="22"/>
      <c r="D2419" s="502"/>
    </row>
    <row r="2420" spans="1:4" x14ac:dyDescent="0.2">
      <c r="A2420" s="502"/>
      <c r="B2420" s="502"/>
      <c r="C2420" s="22"/>
      <c r="D2420" s="502"/>
    </row>
    <row r="2421" spans="1:4" x14ac:dyDescent="0.2">
      <c r="A2421" s="502"/>
      <c r="B2421" s="502"/>
      <c r="C2421" s="22"/>
      <c r="D2421" s="502"/>
    </row>
    <row r="2422" spans="1:4" x14ac:dyDescent="0.2">
      <c r="A2422" s="502"/>
      <c r="B2422" s="502"/>
      <c r="C2422" s="22"/>
      <c r="D2422" s="502"/>
    </row>
    <row r="2423" spans="1:4" x14ac:dyDescent="0.2">
      <c r="A2423" s="502"/>
      <c r="B2423" s="502"/>
      <c r="C2423" s="22"/>
      <c r="D2423" s="502"/>
    </row>
    <row r="2424" spans="1:4" x14ac:dyDescent="0.2">
      <c r="A2424" s="502"/>
      <c r="B2424" s="502"/>
      <c r="C2424" s="22"/>
      <c r="D2424" s="502"/>
    </row>
    <row r="2425" spans="1:4" x14ac:dyDescent="0.2">
      <c r="A2425" s="502"/>
      <c r="B2425" s="502"/>
      <c r="C2425" s="22"/>
      <c r="D2425" s="502"/>
    </row>
    <row r="2426" spans="1:4" x14ac:dyDescent="0.2">
      <c r="A2426" s="502"/>
      <c r="B2426" s="502"/>
      <c r="C2426" s="22"/>
      <c r="D2426" s="502"/>
    </row>
    <row r="2427" spans="1:4" x14ac:dyDescent="0.2">
      <c r="A2427" s="502"/>
      <c r="B2427" s="502"/>
      <c r="C2427" s="22"/>
      <c r="D2427" s="502"/>
    </row>
    <row r="2428" spans="1:4" x14ac:dyDescent="0.2">
      <c r="A2428" s="502"/>
      <c r="B2428" s="502"/>
      <c r="C2428" s="22"/>
      <c r="D2428" s="502"/>
    </row>
    <row r="2429" spans="1:4" x14ac:dyDescent="0.2">
      <c r="A2429" s="502"/>
      <c r="B2429" s="502"/>
      <c r="C2429" s="22"/>
      <c r="D2429" s="502"/>
    </row>
    <row r="2430" spans="1:4" x14ac:dyDescent="0.2">
      <c r="A2430" s="502"/>
      <c r="B2430" s="502"/>
      <c r="C2430" s="22"/>
      <c r="D2430" s="502"/>
    </row>
    <row r="2431" spans="1:4" x14ac:dyDescent="0.2">
      <c r="A2431" s="502"/>
      <c r="B2431" s="502"/>
      <c r="C2431" s="22"/>
      <c r="D2431" s="502"/>
    </row>
    <row r="2432" spans="1:4" x14ac:dyDescent="0.2">
      <c r="A2432" s="502"/>
      <c r="B2432" s="502"/>
      <c r="C2432" s="22"/>
      <c r="D2432" s="502"/>
    </row>
    <row r="2433" spans="1:4" x14ac:dyDescent="0.2">
      <c r="A2433" s="502"/>
      <c r="B2433" s="502"/>
      <c r="C2433" s="22"/>
      <c r="D2433" s="502"/>
    </row>
    <row r="2434" spans="1:4" x14ac:dyDescent="0.2">
      <c r="A2434" s="502"/>
      <c r="B2434" s="502"/>
      <c r="C2434" s="22"/>
      <c r="D2434" s="502"/>
    </row>
    <row r="2435" spans="1:4" x14ac:dyDescent="0.2">
      <c r="A2435" s="502"/>
      <c r="B2435" s="502"/>
      <c r="C2435" s="22"/>
      <c r="D2435" s="502"/>
    </row>
    <row r="2436" spans="1:4" x14ac:dyDescent="0.2">
      <c r="A2436" s="502"/>
      <c r="B2436" s="502"/>
      <c r="C2436" s="22"/>
      <c r="D2436" s="502"/>
    </row>
    <row r="2437" spans="1:4" x14ac:dyDescent="0.2">
      <c r="A2437" s="502"/>
      <c r="B2437" s="502"/>
      <c r="C2437" s="22"/>
      <c r="D2437" s="502"/>
    </row>
    <row r="2438" spans="1:4" x14ac:dyDescent="0.2">
      <c r="A2438" s="502"/>
      <c r="B2438" s="502"/>
      <c r="C2438" s="22"/>
      <c r="D2438" s="502"/>
    </row>
    <row r="2439" spans="1:4" x14ac:dyDescent="0.2">
      <c r="A2439" s="502"/>
      <c r="B2439" s="502"/>
      <c r="C2439" s="22"/>
      <c r="D2439" s="502"/>
    </row>
    <row r="2440" spans="1:4" x14ac:dyDescent="0.2">
      <c r="A2440" s="502"/>
      <c r="B2440" s="502"/>
      <c r="C2440" s="22"/>
      <c r="D2440" s="502"/>
    </row>
    <row r="2441" spans="1:4" x14ac:dyDescent="0.2">
      <c r="A2441" s="502"/>
      <c r="B2441" s="502"/>
      <c r="C2441" s="22"/>
      <c r="D2441" s="502"/>
    </row>
    <row r="2442" spans="1:4" x14ac:dyDescent="0.2">
      <c r="A2442" s="502"/>
      <c r="B2442" s="502"/>
      <c r="C2442" s="22"/>
      <c r="D2442" s="502"/>
    </row>
    <row r="2443" spans="1:4" x14ac:dyDescent="0.2">
      <c r="A2443" s="502"/>
      <c r="B2443" s="502"/>
      <c r="C2443" s="22"/>
      <c r="D2443" s="502"/>
    </row>
    <row r="2444" spans="1:4" x14ac:dyDescent="0.2">
      <c r="A2444" s="502"/>
      <c r="B2444" s="502"/>
      <c r="C2444" s="22"/>
      <c r="D2444" s="502"/>
    </row>
    <row r="2445" spans="1:4" x14ac:dyDescent="0.2">
      <c r="A2445" s="502"/>
      <c r="B2445" s="502"/>
      <c r="C2445" s="22"/>
      <c r="D2445" s="502"/>
    </row>
    <row r="2446" spans="1:4" x14ac:dyDescent="0.2">
      <c r="A2446" s="502"/>
      <c r="B2446" s="502"/>
      <c r="C2446" s="22"/>
      <c r="D2446" s="502"/>
    </row>
    <row r="2447" spans="1:4" x14ac:dyDescent="0.2">
      <c r="A2447" s="502"/>
      <c r="B2447" s="502"/>
      <c r="C2447" s="22"/>
      <c r="D2447" s="502"/>
    </row>
    <row r="2448" spans="1:4" x14ac:dyDescent="0.2">
      <c r="A2448" s="502"/>
      <c r="B2448" s="502"/>
      <c r="C2448" s="22"/>
      <c r="D2448" s="502"/>
    </row>
    <row r="2449" spans="1:4" x14ac:dyDescent="0.2">
      <c r="A2449" s="502"/>
      <c r="B2449" s="502"/>
      <c r="C2449" s="22"/>
      <c r="D2449" s="502"/>
    </row>
    <row r="2450" spans="1:4" x14ac:dyDescent="0.2">
      <c r="A2450" s="502"/>
      <c r="B2450" s="502"/>
      <c r="C2450" s="22"/>
      <c r="D2450" s="502"/>
    </row>
    <row r="2451" spans="1:4" x14ac:dyDescent="0.2">
      <c r="A2451" s="502"/>
      <c r="B2451" s="502"/>
      <c r="C2451" s="22"/>
      <c r="D2451" s="502"/>
    </row>
    <row r="2452" spans="1:4" x14ac:dyDescent="0.2">
      <c r="A2452" s="502"/>
      <c r="B2452" s="502"/>
      <c r="C2452" s="22"/>
      <c r="D2452" s="502"/>
    </row>
    <row r="2453" spans="1:4" x14ac:dyDescent="0.2">
      <c r="A2453" s="502"/>
      <c r="B2453" s="502"/>
      <c r="C2453" s="22"/>
      <c r="D2453" s="502"/>
    </row>
    <row r="2454" spans="1:4" x14ac:dyDescent="0.2">
      <c r="A2454" s="502"/>
      <c r="B2454" s="502"/>
      <c r="C2454" s="22"/>
      <c r="D2454" s="502"/>
    </row>
    <row r="2455" spans="1:4" x14ac:dyDescent="0.2">
      <c r="A2455" s="502"/>
      <c r="B2455" s="502"/>
      <c r="C2455" s="22"/>
      <c r="D2455" s="502"/>
    </row>
    <row r="2456" spans="1:4" x14ac:dyDescent="0.2">
      <c r="A2456" s="502"/>
      <c r="B2456" s="502"/>
      <c r="C2456" s="22"/>
      <c r="D2456" s="502"/>
    </row>
    <row r="2457" spans="1:4" x14ac:dyDescent="0.2">
      <c r="A2457" s="502"/>
      <c r="B2457" s="502"/>
      <c r="C2457" s="22"/>
      <c r="D2457" s="502"/>
    </row>
    <row r="2458" spans="1:4" x14ac:dyDescent="0.2">
      <c r="A2458" s="502"/>
      <c r="B2458" s="502"/>
      <c r="C2458" s="22"/>
      <c r="D2458" s="502"/>
    </row>
    <row r="2459" spans="1:4" x14ac:dyDescent="0.2">
      <c r="A2459" s="502"/>
      <c r="B2459" s="502"/>
      <c r="C2459" s="22"/>
      <c r="D2459" s="502"/>
    </row>
    <row r="2460" spans="1:4" x14ac:dyDescent="0.2">
      <c r="A2460" s="502"/>
      <c r="B2460" s="502"/>
      <c r="C2460" s="22"/>
      <c r="D2460" s="502"/>
    </row>
    <row r="2461" spans="1:4" x14ac:dyDescent="0.2">
      <c r="A2461" s="502"/>
      <c r="B2461" s="502"/>
      <c r="C2461" s="22"/>
      <c r="D2461" s="502"/>
    </row>
    <row r="2462" spans="1:4" x14ac:dyDescent="0.2">
      <c r="A2462" s="502"/>
      <c r="B2462" s="502"/>
      <c r="C2462" s="22"/>
      <c r="D2462" s="502"/>
    </row>
    <row r="2463" spans="1:4" x14ac:dyDescent="0.2">
      <c r="A2463" s="502"/>
      <c r="B2463" s="502"/>
      <c r="C2463" s="22"/>
      <c r="D2463" s="502"/>
    </row>
    <row r="2464" spans="1:4" x14ac:dyDescent="0.2">
      <c r="A2464" s="502"/>
      <c r="B2464" s="502"/>
      <c r="C2464" s="22"/>
      <c r="D2464" s="502"/>
    </row>
    <row r="2465" spans="1:4" x14ac:dyDescent="0.2">
      <c r="A2465" s="502"/>
      <c r="B2465" s="502"/>
      <c r="C2465" s="22"/>
      <c r="D2465" s="502"/>
    </row>
    <row r="2466" spans="1:4" x14ac:dyDescent="0.2">
      <c r="A2466" s="502"/>
      <c r="B2466" s="502"/>
      <c r="C2466" s="22"/>
      <c r="D2466" s="502"/>
    </row>
    <row r="2467" spans="1:4" x14ac:dyDescent="0.2">
      <c r="A2467" s="502"/>
      <c r="B2467" s="502"/>
      <c r="C2467" s="22"/>
      <c r="D2467" s="502"/>
    </row>
    <row r="2468" spans="1:4" x14ac:dyDescent="0.2">
      <c r="A2468" s="502"/>
      <c r="B2468" s="502"/>
      <c r="C2468" s="22"/>
      <c r="D2468" s="502"/>
    </row>
    <row r="2469" spans="1:4" x14ac:dyDescent="0.2">
      <c r="A2469" s="502"/>
      <c r="B2469" s="502"/>
      <c r="C2469" s="22"/>
      <c r="D2469" s="502"/>
    </row>
    <row r="2470" spans="1:4" x14ac:dyDescent="0.2">
      <c r="A2470" s="502"/>
      <c r="B2470" s="502"/>
      <c r="C2470" s="22"/>
      <c r="D2470" s="502"/>
    </row>
    <row r="2471" spans="1:4" x14ac:dyDescent="0.2">
      <c r="A2471" s="502"/>
      <c r="B2471" s="502"/>
      <c r="C2471" s="22"/>
      <c r="D2471" s="502"/>
    </row>
    <row r="2472" spans="1:4" x14ac:dyDescent="0.2">
      <c r="A2472" s="502"/>
      <c r="B2472" s="502"/>
      <c r="C2472" s="22"/>
      <c r="D2472" s="502"/>
    </row>
    <row r="2473" spans="1:4" x14ac:dyDescent="0.2">
      <c r="A2473" s="502"/>
      <c r="B2473" s="502"/>
      <c r="C2473" s="22"/>
      <c r="D2473" s="502"/>
    </row>
    <row r="2474" spans="1:4" x14ac:dyDescent="0.2">
      <c r="A2474" s="502"/>
      <c r="B2474" s="502"/>
      <c r="C2474" s="22"/>
      <c r="D2474" s="502"/>
    </row>
    <row r="2475" spans="1:4" x14ac:dyDescent="0.2">
      <c r="A2475" s="502"/>
      <c r="B2475" s="502"/>
      <c r="C2475" s="22"/>
      <c r="D2475" s="502"/>
    </row>
    <row r="2476" spans="1:4" x14ac:dyDescent="0.2">
      <c r="A2476" s="502"/>
      <c r="B2476" s="502"/>
      <c r="C2476" s="22"/>
      <c r="D2476" s="502"/>
    </row>
    <row r="2477" spans="1:4" x14ac:dyDescent="0.2">
      <c r="A2477" s="502"/>
      <c r="B2477" s="502"/>
      <c r="C2477" s="22"/>
      <c r="D2477" s="502"/>
    </row>
    <row r="2478" spans="1:4" x14ac:dyDescent="0.2">
      <c r="A2478" s="502"/>
      <c r="B2478" s="502"/>
      <c r="C2478" s="22"/>
      <c r="D2478" s="502"/>
    </row>
    <row r="2479" spans="1:4" x14ac:dyDescent="0.2">
      <c r="A2479" s="502"/>
      <c r="B2479" s="502"/>
      <c r="C2479" s="22"/>
      <c r="D2479" s="502"/>
    </row>
    <row r="2480" spans="1:4" x14ac:dyDescent="0.2">
      <c r="A2480" s="502"/>
      <c r="B2480" s="502"/>
      <c r="C2480" s="22"/>
      <c r="D2480" s="502"/>
    </row>
    <row r="2481" spans="1:4" x14ac:dyDescent="0.2">
      <c r="A2481" s="502"/>
      <c r="B2481" s="502"/>
      <c r="C2481" s="22"/>
      <c r="D2481" s="502"/>
    </row>
    <row r="2482" spans="1:4" x14ac:dyDescent="0.2">
      <c r="A2482" s="502"/>
      <c r="B2482" s="502"/>
      <c r="C2482" s="22"/>
      <c r="D2482" s="502"/>
    </row>
    <row r="2483" spans="1:4" x14ac:dyDescent="0.2">
      <c r="A2483" s="502"/>
      <c r="B2483" s="502"/>
      <c r="C2483" s="22"/>
      <c r="D2483" s="502"/>
    </row>
    <row r="2484" spans="1:4" x14ac:dyDescent="0.2">
      <c r="A2484" s="502"/>
      <c r="B2484" s="502"/>
      <c r="C2484" s="22"/>
      <c r="D2484" s="502"/>
    </row>
    <row r="2485" spans="1:4" x14ac:dyDescent="0.2">
      <c r="A2485" s="502"/>
      <c r="B2485" s="502"/>
      <c r="C2485" s="22"/>
      <c r="D2485" s="502"/>
    </row>
    <row r="2486" spans="1:4" x14ac:dyDescent="0.2">
      <c r="A2486" s="502"/>
      <c r="B2486" s="502"/>
      <c r="C2486" s="22"/>
      <c r="D2486" s="502"/>
    </row>
    <row r="2487" spans="1:4" x14ac:dyDescent="0.2">
      <c r="A2487" s="502"/>
      <c r="B2487" s="502"/>
      <c r="C2487" s="22"/>
      <c r="D2487" s="502"/>
    </row>
    <row r="2488" spans="1:4" x14ac:dyDescent="0.2">
      <c r="A2488" s="502"/>
      <c r="B2488" s="502"/>
      <c r="C2488" s="22"/>
      <c r="D2488" s="502"/>
    </row>
    <row r="2489" spans="1:4" x14ac:dyDescent="0.2">
      <c r="A2489" s="502"/>
      <c r="B2489" s="502"/>
      <c r="C2489" s="22"/>
      <c r="D2489" s="502"/>
    </row>
    <row r="2490" spans="1:4" x14ac:dyDescent="0.2">
      <c r="A2490" s="502"/>
      <c r="B2490" s="502"/>
      <c r="C2490" s="22"/>
      <c r="D2490" s="502"/>
    </row>
    <row r="2491" spans="1:4" x14ac:dyDescent="0.2">
      <c r="A2491" s="502"/>
      <c r="B2491" s="502"/>
      <c r="C2491" s="22"/>
      <c r="D2491" s="502"/>
    </row>
    <row r="2492" spans="1:4" x14ac:dyDescent="0.2">
      <c r="A2492" s="502"/>
      <c r="B2492" s="502"/>
      <c r="C2492" s="22"/>
      <c r="D2492" s="502"/>
    </row>
    <row r="2493" spans="1:4" x14ac:dyDescent="0.2">
      <c r="A2493" s="502"/>
      <c r="B2493" s="502"/>
      <c r="C2493" s="22"/>
      <c r="D2493" s="502"/>
    </row>
    <row r="2494" spans="1:4" x14ac:dyDescent="0.2">
      <c r="A2494" s="502"/>
      <c r="B2494" s="502"/>
      <c r="C2494" s="22"/>
      <c r="D2494" s="502"/>
    </row>
    <row r="2495" spans="1:4" x14ac:dyDescent="0.2">
      <c r="A2495" s="502"/>
      <c r="B2495" s="502"/>
      <c r="C2495" s="22"/>
      <c r="D2495" s="502"/>
    </row>
    <row r="2496" spans="1:4" x14ac:dyDescent="0.2">
      <c r="A2496" s="502"/>
      <c r="B2496" s="502"/>
      <c r="C2496" s="22"/>
      <c r="D2496" s="502"/>
    </row>
    <row r="2497" spans="1:4" x14ac:dyDescent="0.2">
      <c r="A2497" s="502"/>
      <c r="B2497" s="502"/>
      <c r="C2497" s="22"/>
      <c r="D2497" s="502"/>
    </row>
    <row r="2498" spans="1:4" x14ac:dyDescent="0.2">
      <c r="A2498" s="502"/>
      <c r="B2498" s="502"/>
      <c r="C2498" s="22"/>
      <c r="D2498" s="502"/>
    </row>
    <row r="2499" spans="1:4" x14ac:dyDescent="0.2">
      <c r="A2499" s="502"/>
      <c r="B2499" s="502"/>
      <c r="C2499" s="22"/>
      <c r="D2499" s="502"/>
    </row>
    <row r="2500" spans="1:4" x14ac:dyDescent="0.2">
      <c r="A2500" s="502"/>
      <c r="B2500" s="502"/>
      <c r="C2500" s="22"/>
      <c r="D2500" s="502"/>
    </row>
    <row r="2501" spans="1:4" x14ac:dyDescent="0.2">
      <c r="A2501" s="502"/>
      <c r="B2501" s="502"/>
      <c r="C2501" s="22"/>
      <c r="D2501" s="502"/>
    </row>
    <row r="2502" spans="1:4" x14ac:dyDescent="0.2">
      <c r="A2502" s="502"/>
      <c r="B2502" s="502"/>
      <c r="C2502" s="22"/>
      <c r="D2502" s="502"/>
    </row>
    <row r="2503" spans="1:4" x14ac:dyDescent="0.2">
      <c r="A2503" s="502"/>
      <c r="B2503" s="502"/>
      <c r="C2503" s="22"/>
      <c r="D2503" s="502"/>
    </row>
    <row r="2504" spans="1:4" x14ac:dyDescent="0.2">
      <c r="A2504" s="502"/>
      <c r="B2504" s="502"/>
      <c r="C2504" s="22"/>
      <c r="D2504" s="502"/>
    </row>
    <row r="2505" spans="1:4" x14ac:dyDescent="0.2">
      <c r="A2505" s="502"/>
      <c r="B2505" s="502"/>
      <c r="C2505" s="22"/>
      <c r="D2505" s="502"/>
    </row>
    <row r="2506" spans="1:4" x14ac:dyDescent="0.2">
      <c r="A2506" s="502"/>
      <c r="B2506" s="502"/>
      <c r="C2506" s="22"/>
      <c r="D2506" s="502"/>
    </row>
    <row r="2507" spans="1:4" x14ac:dyDescent="0.2">
      <c r="A2507" s="502"/>
      <c r="B2507" s="502"/>
      <c r="C2507" s="22"/>
      <c r="D2507" s="502"/>
    </row>
    <row r="2508" spans="1:4" x14ac:dyDescent="0.2">
      <c r="A2508" s="502"/>
      <c r="B2508" s="502"/>
      <c r="C2508" s="22"/>
      <c r="D2508" s="502"/>
    </row>
    <row r="2509" spans="1:4" x14ac:dyDescent="0.2">
      <c r="A2509" s="502"/>
      <c r="B2509" s="502"/>
      <c r="C2509" s="22"/>
      <c r="D2509" s="502"/>
    </row>
    <row r="2510" spans="1:4" x14ac:dyDescent="0.2">
      <c r="A2510" s="502"/>
      <c r="B2510" s="502"/>
      <c r="C2510" s="22"/>
      <c r="D2510" s="502"/>
    </row>
    <row r="2511" spans="1:4" x14ac:dyDescent="0.2">
      <c r="A2511" s="502"/>
      <c r="B2511" s="502"/>
      <c r="C2511" s="22"/>
      <c r="D2511" s="502"/>
    </row>
    <row r="2512" spans="1:4" x14ac:dyDescent="0.2">
      <c r="A2512" s="502"/>
      <c r="B2512" s="502"/>
      <c r="C2512" s="22"/>
      <c r="D2512" s="502"/>
    </row>
    <row r="2513" spans="1:4" x14ac:dyDescent="0.2">
      <c r="A2513" s="502"/>
      <c r="B2513" s="502"/>
      <c r="C2513" s="22"/>
      <c r="D2513" s="502"/>
    </row>
    <row r="2514" spans="1:4" x14ac:dyDescent="0.2">
      <c r="A2514" s="502"/>
      <c r="B2514" s="502"/>
      <c r="C2514" s="22"/>
      <c r="D2514" s="502"/>
    </row>
    <row r="2515" spans="1:4" x14ac:dyDescent="0.2">
      <c r="A2515" s="502"/>
      <c r="B2515" s="502"/>
      <c r="C2515" s="22"/>
      <c r="D2515" s="502"/>
    </row>
    <row r="2516" spans="1:4" x14ac:dyDescent="0.2">
      <c r="A2516" s="502"/>
      <c r="B2516" s="502"/>
      <c r="C2516" s="22"/>
      <c r="D2516" s="502"/>
    </row>
    <row r="2517" spans="1:4" x14ac:dyDescent="0.2">
      <c r="A2517" s="502"/>
      <c r="B2517" s="502"/>
      <c r="C2517" s="22"/>
      <c r="D2517" s="502"/>
    </row>
    <row r="2518" spans="1:4" x14ac:dyDescent="0.2">
      <c r="A2518" s="502"/>
      <c r="B2518" s="502"/>
      <c r="C2518" s="22"/>
      <c r="D2518" s="502"/>
    </row>
    <row r="2519" spans="1:4" x14ac:dyDescent="0.2">
      <c r="A2519" s="502"/>
      <c r="B2519" s="502"/>
      <c r="C2519" s="22"/>
      <c r="D2519" s="502"/>
    </row>
    <row r="2520" spans="1:4" x14ac:dyDescent="0.2">
      <c r="A2520" s="502"/>
      <c r="B2520" s="502"/>
      <c r="C2520" s="22"/>
      <c r="D2520" s="502"/>
    </row>
    <row r="2521" spans="1:4" x14ac:dyDescent="0.2">
      <c r="A2521" s="502"/>
      <c r="B2521" s="502"/>
      <c r="C2521" s="22"/>
      <c r="D2521" s="502"/>
    </row>
    <row r="2522" spans="1:4" x14ac:dyDescent="0.2">
      <c r="A2522" s="502"/>
      <c r="B2522" s="502"/>
      <c r="C2522" s="22"/>
      <c r="D2522" s="502"/>
    </row>
    <row r="2523" spans="1:4" x14ac:dyDescent="0.2">
      <c r="A2523" s="502"/>
      <c r="B2523" s="502"/>
      <c r="C2523" s="22"/>
      <c r="D2523" s="502"/>
    </row>
    <row r="2524" spans="1:4" x14ac:dyDescent="0.2">
      <c r="A2524" s="502"/>
      <c r="B2524" s="502"/>
      <c r="C2524" s="22"/>
      <c r="D2524" s="502"/>
    </row>
    <row r="2525" spans="1:4" x14ac:dyDescent="0.2">
      <c r="A2525" s="502"/>
      <c r="B2525" s="502"/>
      <c r="C2525" s="22"/>
      <c r="D2525" s="502"/>
    </row>
    <row r="2526" spans="1:4" x14ac:dyDescent="0.2">
      <c r="A2526" s="502"/>
      <c r="B2526" s="502"/>
      <c r="C2526" s="22"/>
      <c r="D2526" s="502"/>
    </row>
    <row r="2527" spans="1:4" x14ac:dyDescent="0.2">
      <c r="A2527" s="502"/>
      <c r="B2527" s="502"/>
      <c r="C2527" s="22"/>
      <c r="D2527" s="502"/>
    </row>
    <row r="2528" spans="1:4" x14ac:dyDescent="0.2">
      <c r="A2528" s="502"/>
      <c r="B2528" s="502"/>
      <c r="C2528" s="22"/>
      <c r="D2528" s="502"/>
    </row>
    <row r="2529" spans="1:4" x14ac:dyDescent="0.2">
      <c r="A2529" s="502"/>
      <c r="B2529" s="502"/>
      <c r="C2529" s="22"/>
      <c r="D2529" s="502"/>
    </row>
    <row r="2530" spans="1:4" x14ac:dyDescent="0.2">
      <c r="A2530" s="502"/>
      <c r="B2530" s="502"/>
      <c r="C2530" s="22"/>
      <c r="D2530" s="502"/>
    </row>
    <row r="2531" spans="1:4" x14ac:dyDescent="0.2">
      <c r="A2531" s="502"/>
      <c r="B2531" s="502"/>
      <c r="C2531" s="22"/>
      <c r="D2531" s="502"/>
    </row>
    <row r="2532" spans="1:4" x14ac:dyDescent="0.2">
      <c r="A2532" s="502"/>
      <c r="B2532" s="502"/>
      <c r="C2532" s="22"/>
      <c r="D2532" s="502"/>
    </row>
    <row r="2533" spans="1:4" x14ac:dyDescent="0.2">
      <c r="A2533" s="502"/>
      <c r="B2533" s="502"/>
      <c r="C2533" s="22"/>
      <c r="D2533" s="502"/>
    </row>
    <row r="2534" spans="1:4" x14ac:dyDescent="0.2">
      <c r="A2534" s="502"/>
      <c r="B2534" s="502"/>
      <c r="C2534" s="22"/>
      <c r="D2534" s="502"/>
    </row>
    <row r="2535" spans="1:4" x14ac:dyDescent="0.2">
      <c r="A2535" s="502"/>
      <c r="B2535" s="502"/>
      <c r="C2535" s="22"/>
      <c r="D2535" s="502"/>
    </row>
    <row r="2536" spans="1:4" x14ac:dyDescent="0.2">
      <c r="A2536" s="502"/>
      <c r="B2536" s="502"/>
      <c r="C2536" s="22"/>
      <c r="D2536" s="502"/>
    </row>
    <row r="2537" spans="1:4" x14ac:dyDescent="0.2">
      <c r="A2537" s="502"/>
      <c r="B2537" s="502"/>
      <c r="C2537" s="22"/>
      <c r="D2537" s="502"/>
    </row>
    <row r="2538" spans="1:4" x14ac:dyDescent="0.2">
      <c r="A2538" s="502"/>
      <c r="B2538" s="502"/>
      <c r="C2538" s="22"/>
      <c r="D2538" s="502"/>
    </row>
    <row r="2539" spans="1:4" x14ac:dyDescent="0.2">
      <c r="A2539" s="502"/>
      <c r="B2539" s="502"/>
      <c r="C2539" s="22"/>
      <c r="D2539" s="502"/>
    </row>
    <row r="2540" spans="1:4" x14ac:dyDescent="0.2">
      <c r="A2540" s="502"/>
      <c r="B2540" s="502"/>
      <c r="C2540" s="22"/>
      <c r="D2540" s="502"/>
    </row>
    <row r="2541" spans="1:4" x14ac:dyDescent="0.2">
      <c r="A2541" s="502"/>
      <c r="B2541" s="502"/>
      <c r="C2541" s="22"/>
      <c r="D2541" s="502"/>
    </row>
    <row r="2542" spans="1:4" x14ac:dyDescent="0.2">
      <c r="A2542" s="502"/>
      <c r="B2542" s="502"/>
      <c r="C2542" s="22"/>
      <c r="D2542" s="502"/>
    </row>
    <row r="2543" spans="1:4" x14ac:dyDescent="0.2">
      <c r="A2543" s="502"/>
      <c r="B2543" s="502"/>
      <c r="C2543" s="22"/>
      <c r="D2543" s="502"/>
    </row>
    <row r="2544" spans="1:4" x14ac:dyDescent="0.2">
      <c r="A2544" s="502"/>
      <c r="B2544" s="502"/>
      <c r="C2544" s="22"/>
      <c r="D2544" s="502"/>
    </row>
    <row r="2545" spans="1:4" x14ac:dyDescent="0.2">
      <c r="A2545" s="502"/>
      <c r="B2545" s="502"/>
      <c r="C2545" s="22"/>
      <c r="D2545" s="502"/>
    </row>
    <row r="2546" spans="1:4" x14ac:dyDescent="0.2">
      <c r="A2546" s="502"/>
      <c r="B2546" s="502"/>
      <c r="C2546" s="22"/>
      <c r="D2546" s="502"/>
    </row>
    <row r="2547" spans="1:4" x14ac:dyDescent="0.2">
      <c r="A2547" s="502"/>
      <c r="B2547" s="502"/>
      <c r="C2547" s="22"/>
      <c r="D2547" s="502"/>
    </row>
    <row r="2548" spans="1:4" x14ac:dyDescent="0.2">
      <c r="A2548" s="502"/>
      <c r="B2548" s="502"/>
      <c r="C2548" s="22"/>
      <c r="D2548" s="502"/>
    </row>
    <row r="2549" spans="1:4" x14ac:dyDescent="0.2">
      <c r="A2549" s="502"/>
      <c r="B2549" s="502"/>
      <c r="C2549" s="22"/>
      <c r="D2549" s="502"/>
    </row>
    <row r="2550" spans="1:4" x14ac:dyDescent="0.2">
      <c r="A2550" s="502"/>
      <c r="B2550" s="502"/>
      <c r="C2550" s="22"/>
      <c r="D2550" s="502"/>
    </row>
    <row r="2551" spans="1:4" x14ac:dyDescent="0.2">
      <c r="A2551" s="502"/>
      <c r="B2551" s="502"/>
      <c r="C2551" s="22"/>
      <c r="D2551" s="502"/>
    </row>
    <row r="2552" spans="1:4" x14ac:dyDescent="0.2">
      <c r="A2552" s="502"/>
      <c r="B2552" s="502"/>
      <c r="C2552" s="22"/>
      <c r="D2552" s="502"/>
    </row>
    <row r="2553" spans="1:4" x14ac:dyDescent="0.2">
      <c r="A2553" s="502"/>
      <c r="B2553" s="502"/>
      <c r="C2553" s="22"/>
      <c r="D2553" s="502"/>
    </row>
    <row r="2554" spans="1:4" x14ac:dyDescent="0.2">
      <c r="A2554" s="502"/>
      <c r="B2554" s="502"/>
      <c r="C2554" s="22"/>
      <c r="D2554" s="502"/>
    </row>
    <row r="2555" spans="1:4" x14ac:dyDescent="0.2">
      <c r="A2555" s="502"/>
      <c r="B2555" s="502"/>
      <c r="C2555" s="22"/>
      <c r="D2555" s="502"/>
    </row>
    <row r="2556" spans="1:4" x14ac:dyDescent="0.2">
      <c r="A2556" s="502"/>
      <c r="B2556" s="502"/>
      <c r="C2556" s="22"/>
      <c r="D2556" s="502"/>
    </row>
    <row r="2557" spans="1:4" x14ac:dyDescent="0.2">
      <c r="A2557" s="502"/>
      <c r="B2557" s="502"/>
      <c r="C2557" s="22"/>
      <c r="D2557" s="502"/>
    </row>
    <row r="2558" spans="1:4" x14ac:dyDescent="0.2">
      <c r="A2558" s="502"/>
      <c r="B2558" s="502"/>
      <c r="C2558" s="22"/>
      <c r="D2558" s="502"/>
    </row>
    <row r="2559" spans="1:4" x14ac:dyDescent="0.2">
      <c r="A2559" s="502"/>
      <c r="B2559" s="502"/>
      <c r="C2559" s="22"/>
      <c r="D2559" s="502"/>
    </row>
    <row r="2560" spans="1:4" x14ac:dyDescent="0.2">
      <c r="A2560" s="502"/>
      <c r="B2560" s="502"/>
      <c r="C2560" s="22"/>
      <c r="D2560" s="502"/>
    </row>
    <row r="2561" spans="1:4" x14ac:dyDescent="0.2">
      <c r="A2561" s="502"/>
      <c r="B2561" s="502"/>
      <c r="C2561" s="22"/>
      <c r="D2561" s="502"/>
    </row>
    <row r="2562" spans="1:4" x14ac:dyDescent="0.2">
      <c r="A2562" s="502"/>
      <c r="B2562" s="502"/>
      <c r="C2562" s="22"/>
      <c r="D2562" s="502"/>
    </row>
    <row r="2563" spans="1:4" x14ac:dyDescent="0.2">
      <c r="A2563" s="502"/>
      <c r="B2563" s="502"/>
      <c r="C2563" s="22"/>
      <c r="D2563" s="502"/>
    </row>
    <row r="2564" spans="1:4" x14ac:dyDescent="0.2">
      <c r="A2564" s="502"/>
      <c r="B2564" s="502"/>
      <c r="C2564" s="22"/>
      <c r="D2564" s="502"/>
    </row>
    <row r="2565" spans="1:4" x14ac:dyDescent="0.2">
      <c r="A2565" s="502"/>
      <c r="B2565" s="502"/>
      <c r="C2565" s="22"/>
      <c r="D2565" s="502"/>
    </row>
    <row r="2566" spans="1:4" x14ac:dyDescent="0.2">
      <c r="A2566" s="502"/>
      <c r="B2566" s="502"/>
      <c r="C2566" s="22"/>
      <c r="D2566" s="502"/>
    </row>
    <row r="2567" spans="1:4" x14ac:dyDescent="0.2">
      <c r="A2567" s="502"/>
      <c r="B2567" s="502"/>
      <c r="C2567" s="22"/>
      <c r="D2567" s="502"/>
    </row>
    <row r="2568" spans="1:4" x14ac:dyDescent="0.2">
      <c r="A2568" s="502"/>
      <c r="B2568" s="502"/>
      <c r="C2568" s="22"/>
      <c r="D2568" s="502"/>
    </row>
    <row r="2569" spans="1:4" x14ac:dyDescent="0.2">
      <c r="A2569" s="502"/>
      <c r="B2569" s="502"/>
      <c r="C2569" s="22"/>
      <c r="D2569" s="502"/>
    </row>
    <row r="2570" spans="1:4" x14ac:dyDescent="0.2">
      <c r="A2570" s="502"/>
      <c r="B2570" s="502"/>
      <c r="C2570" s="22"/>
      <c r="D2570" s="502"/>
    </row>
    <row r="2571" spans="1:4" x14ac:dyDescent="0.2">
      <c r="A2571" s="502"/>
      <c r="B2571" s="502"/>
      <c r="C2571" s="22"/>
      <c r="D2571" s="502"/>
    </row>
    <row r="2572" spans="1:4" x14ac:dyDescent="0.2">
      <c r="A2572" s="502"/>
      <c r="B2572" s="502"/>
      <c r="C2572" s="22"/>
      <c r="D2572" s="502"/>
    </row>
    <row r="2573" spans="1:4" x14ac:dyDescent="0.2">
      <c r="A2573" s="502"/>
      <c r="B2573" s="502"/>
      <c r="C2573" s="22"/>
      <c r="D2573" s="502"/>
    </row>
    <row r="2574" spans="1:4" x14ac:dyDescent="0.2">
      <c r="A2574" s="502"/>
      <c r="B2574" s="502"/>
      <c r="C2574" s="22"/>
      <c r="D2574" s="502"/>
    </row>
    <row r="2575" spans="1:4" x14ac:dyDescent="0.2">
      <c r="A2575" s="502"/>
      <c r="B2575" s="502"/>
      <c r="C2575" s="22"/>
      <c r="D2575" s="502"/>
    </row>
    <row r="2576" spans="1:4" x14ac:dyDescent="0.2">
      <c r="A2576" s="502"/>
      <c r="B2576" s="502"/>
      <c r="C2576" s="22"/>
      <c r="D2576" s="502"/>
    </row>
    <row r="2577" spans="1:4" x14ac:dyDescent="0.2">
      <c r="A2577" s="502"/>
      <c r="B2577" s="502"/>
      <c r="C2577" s="22"/>
      <c r="D2577" s="502"/>
    </row>
    <row r="2578" spans="1:4" x14ac:dyDescent="0.2">
      <c r="A2578" s="502"/>
      <c r="B2578" s="502"/>
      <c r="C2578" s="22"/>
      <c r="D2578" s="502"/>
    </row>
    <row r="2579" spans="1:4" x14ac:dyDescent="0.2">
      <c r="A2579" s="502"/>
      <c r="B2579" s="502"/>
      <c r="C2579" s="22"/>
      <c r="D2579" s="502"/>
    </row>
    <row r="2580" spans="1:4" x14ac:dyDescent="0.2">
      <c r="A2580" s="502"/>
      <c r="B2580" s="502"/>
      <c r="C2580" s="22"/>
      <c r="D2580" s="502"/>
    </row>
    <row r="2581" spans="1:4" x14ac:dyDescent="0.2">
      <c r="A2581" s="502"/>
      <c r="B2581" s="502"/>
      <c r="C2581" s="22"/>
      <c r="D2581" s="502"/>
    </row>
    <row r="2582" spans="1:4" x14ac:dyDescent="0.2">
      <c r="A2582" s="502"/>
      <c r="B2582" s="502"/>
      <c r="C2582" s="22"/>
      <c r="D2582" s="502"/>
    </row>
    <row r="2583" spans="1:4" x14ac:dyDescent="0.2">
      <c r="A2583" s="502"/>
      <c r="B2583" s="502"/>
      <c r="C2583" s="22"/>
      <c r="D2583" s="502"/>
    </row>
    <row r="2584" spans="1:4" x14ac:dyDescent="0.2">
      <c r="A2584" s="502"/>
      <c r="B2584" s="502"/>
      <c r="C2584" s="22"/>
      <c r="D2584" s="502"/>
    </row>
    <row r="2585" spans="1:4" x14ac:dyDescent="0.2">
      <c r="A2585" s="502"/>
      <c r="B2585" s="502"/>
      <c r="C2585" s="22"/>
      <c r="D2585" s="502"/>
    </row>
    <row r="2586" spans="1:4" x14ac:dyDescent="0.2">
      <c r="A2586" s="502"/>
      <c r="B2586" s="502"/>
      <c r="C2586" s="22"/>
      <c r="D2586" s="502"/>
    </row>
    <row r="2587" spans="1:4" x14ac:dyDescent="0.2">
      <c r="A2587" s="502"/>
      <c r="B2587" s="502"/>
      <c r="C2587" s="22"/>
      <c r="D2587" s="502"/>
    </row>
    <row r="2588" spans="1:4" x14ac:dyDescent="0.2">
      <c r="A2588" s="502"/>
      <c r="B2588" s="502"/>
      <c r="C2588" s="22"/>
      <c r="D2588" s="502"/>
    </row>
    <row r="2589" spans="1:4" x14ac:dyDescent="0.2">
      <c r="A2589" s="502"/>
      <c r="B2589" s="502"/>
      <c r="C2589" s="22"/>
      <c r="D2589" s="502"/>
    </row>
    <row r="2590" spans="1:4" x14ac:dyDescent="0.2">
      <c r="A2590" s="502"/>
      <c r="B2590" s="502"/>
      <c r="C2590" s="22"/>
      <c r="D2590" s="502"/>
    </row>
    <row r="2591" spans="1:4" x14ac:dyDescent="0.2">
      <c r="A2591" s="502"/>
      <c r="B2591" s="502"/>
      <c r="C2591" s="22"/>
      <c r="D2591" s="502"/>
    </row>
    <row r="2592" spans="1:4" x14ac:dyDescent="0.2">
      <c r="A2592" s="502"/>
      <c r="B2592" s="502"/>
      <c r="C2592" s="22"/>
      <c r="D2592" s="502"/>
    </row>
    <row r="2593" spans="1:4" x14ac:dyDescent="0.2">
      <c r="A2593" s="502"/>
      <c r="B2593" s="502"/>
      <c r="C2593" s="22"/>
      <c r="D2593" s="502"/>
    </row>
    <row r="2594" spans="1:4" x14ac:dyDescent="0.2">
      <c r="A2594" s="502"/>
      <c r="B2594" s="502"/>
      <c r="C2594" s="22"/>
      <c r="D2594" s="502"/>
    </row>
    <row r="2595" spans="1:4" x14ac:dyDescent="0.2">
      <c r="A2595" s="502"/>
      <c r="B2595" s="502"/>
      <c r="C2595" s="22"/>
      <c r="D2595" s="502"/>
    </row>
    <row r="2596" spans="1:4" x14ac:dyDescent="0.2">
      <c r="A2596" s="502"/>
      <c r="B2596" s="502"/>
      <c r="C2596" s="22"/>
      <c r="D2596" s="502"/>
    </row>
    <row r="2597" spans="1:4" x14ac:dyDescent="0.2">
      <c r="A2597" s="502"/>
      <c r="B2597" s="502"/>
      <c r="C2597" s="22"/>
      <c r="D2597" s="502"/>
    </row>
    <row r="2598" spans="1:4" x14ac:dyDescent="0.2">
      <c r="A2598" s="502"/>
      <c r="B2598" s="502"/>
      <c r="C2598" s="22"/>
      <c r="D2598" s="502"/>
    </row>
    <row r="2599" spans="1:4" x14ac:dyDescent="0.2">
      <c r="A2599" s="502"/>
      <c r="B2599" s="502"/>
      <c r="C2599" s="22"/>
      <c r="D2599" s="502"/>
    </row>
    <row r="2600" spans="1:4" x14ac:dyDescent="0.2">
      <c r="A2600" s="502"/>
      <c r="B2600" s="502"/>
      <c r="C2600" s="22"/>
      <c r="D2600" s="502"/>
    </row>
    <row r="2601" spans="1:4" x14ac:dyDescent="0.2">
      <c r="A2601" s="502"/>
      <c r="B2601" s="502"/>
      <c r="C2601" s="22"/>
      <c r="D2601" s="502"/>
    </row>
    <row r="2602" spans="1:4" x14ac:dyDescent="0.2">
      <c r="A2602" s="502"/>
      <c r="B2602" s="502"/>
      <c r="C2602" s="22"/>
      <c r="D2602" s="502"/>
    </row>
    <row r="2603" spans="1:4" x14ac:dyDescent="0.2">
      <c r="A2603" s="502"/>
      <c r="B2603" s="502"/>
      <c r="C2603" s="22"/>
      <c r="D2603" s="502"/>
    </row>
    <row r="2604" spans="1:4" x14ac:dyDescent="0.2">
      <c r="A2604" s="502"/>
      <c r="B2604" s="502"/>
      <c r="C2604" s="22"/>
      <c r="D2604" s="502"/>
    </row>
    <row r="2605" spans="1:4" x14ac:dyDescent="0.2">
      <c r="A2605" s="502"/>
      <c r="B2605" s="502"/>
      <c r="C2605" s="22"/>
      <c r="D2605" s="502"/>
    </row>
    <row r="2606" spans="1:4" x14ac:dyDescent="0.2">
      <c r="A2606" s="502"/>
      <c r="B2606" s="502"/>
      <c r="C2606" s="22"/>
      <c r="D2606" s="502"/>
    </row>
    <row r="2607" spans="1:4" x14ac:dyDescent="0.2">
      <c r="A2607" s="502"/>
      <c r="B2607" s="502"/>
      <c r="C2607" s="22"/>
      <c r="D2607" s="502"/>
    </row>
    <row r="2608" spans="1:4" x14ac:dyDescent="0.2">
      <c r="A2608" s="502"/>
      <c r="B2608" s="502"/>
      <c r="C2608" s="22"/>
      <c r="D2608" s="502"/>
    </row>
    <row r="2609" spans="1:4" x14ac:dyDescent="0.2">
      <c r="A2609" s="502"/>
      <c r="B2609" s="502"/>
      <c r="C2609" s="22"/>
      <c r="D2609" s="502"/>
    </row>
    <row r="2610" spans="1:4" x14ac:dyDescent="0.2">
      <c r="A2610" s="502"/>
      <c r="B2610" s="502"/>
      <c r="C2610" s="22"/>
      <c r="D2610" s="502"/>
    </row>
    <row r="2611" spans="1:4" x14ac:dyDescent="0.2">
      <c r="A2611" s="502"/>
      <c r="B2611" s="502"/>
      <c r="C2611" s="22"/>
      <c r="D2611" s="502"/>
    </row>
    <row r="2612" spans="1:4" x14ac:dyDescent="0.2">
      <c r="A2612" s="502"/>
      <c r="B2612" s="502"/>
      <c r="C2612" s="22"/>
      <c r="D2612" s="502"/>
    </row>
    <row r="2613" spans="1:4" x14ac:dyDescent="0.2">
      <c r="A2613" s="502"/>
      <c r="B2613" s="502"/>
      <c r="C2613" s="22"/>
      <c r="D2613" s="502"/>
    </row>
    <row r="2614" spans="1:4" x14ac:dyDescent="0.2">
      <c r="A2614" s="502"/>
      <c r="B2614" s="502"/>
      <c r="C2614" s="22"/>
      <c r="D2614" s="502"/>
    </row>
    <row r="2615" spans="1:4" x14ac:dyDescent="0.2">
      <c r="A2615" s="502"/>
      <c r="B2615" s="502"/>
      <c r="C2615" s="22"/>
      <c r="D2615" s="502"/>
    </row>
    <row r="2616" spans="1:4" x14ac:dyDescent="0.2">
      <c r="A2616" s="502"/>
      <c r="B2616" s="502"/>
      <c r="C2616" s="22"/>
      <c r="D2616" s="502"/>
    </row>
    <row r="2617" spans="1:4" x14ac:dyDescent="0.2">
      <c r="A2617" s="502"/>
      <c r="B2617" s="502"/>
      <c r="C2617" s="22"/>
      <c r="D2617" s="502"/>
    </row>
    <row r="2618" spans="1:4" x14ac:dyDescent="0.2">
      <c r="A2618" s="502"/>
      <c r="B2618" s="502"/>
      <c r="C2618" s="22"/>
      <c r="D2618" s="502"/>
    </row>
    <row r="2619" spans="1:4" x14ac:dyDescent="0.2">
      <c r="A2619" s="502"/>
      <c r="B2619" s="502"/>
      <c r="C2619" s="22"/>
      <c r="D2619" s="502"/>
    </row>
    <row r="2620" spans="1:4" x14ac:dyDescent="0.2">
      <c r="A2620" s="502"/>
      <c r="B2620" s="502"/>
      <c r="C2620" s="22"/>
      <c r="D2620" s="502"/>
    </row>
    <row r="2621" spans="1:4" x14ac:dyDescent="0.2">
      <c r="A2621" s="502"/>
      <c r="B2621" s="502"/>
      <c r="C2621" s="22"/>
      <c r="D2621" s="502"/>
    </row>
    <row r="2622" spans="1:4" x14ac:dyDescent="0.2">
      <c r="A2622" s="502"/>
      <c r="B2622" s="502"/>
      <c r="C2622" s="22"/>
      <c r="D2622" s="502"/>
    </row>
    <row r="2623" spans="1:4" x14ac:dyDescent="0.2">
      <c r="A2623" s="502"/>
      <c r="B2623" s="502"/>
      <c r="C2623" s="22"/>
      <c r="D2623" s="502"/>
    </row>
    <row r="2624" spans="1:4" x14ac:dyDescent="0.2">
      <c r="A2624" s="502"/>
      <c r="B2624" s="502"/>
      <c r="C2624" s="22"/>
      <c r="D2624" s="502"/>
    </row>
    <row r="2625" spans="1:4" x14ac:dyDescent="0.2">
      <c r="A2625" s="502"/>
      <c r="B2625" s="502"/>
      <c r="C2625" s="22"/>
      <c r="D2625" s="502"/>
    </row>
    <row r="2626" spans="1:4" x14ac:dyDescent="0.2">
      <c r="A2626" s="502"/>
      <c r="B2626" s="502"/>
      <c r="C2626" s="22"/>
      <c r="D2626" s="502"/>
    </row>
    <row r="2627" spans="1:4" x14ac:dyDescent="0.2">
      <c r="A2627" s="502"/>
      <c r="B2627" s="502"/>
      <c r="C2627" s="22"/>
      <c r="D2627" s="502"/>
    </row>
    <row r="2628" spans="1:4" x14ac:dyDescent="0.2">
      <c r="A2628" s="502"/>
      <c r="B2628" s="502"/>
      <c r="C2628" s="22"/>
      <c r="D2628" s="502"/>
    </row>
    <row r="2629" spans="1:4" x14ac:dyDescent="0.2">
      <c r="A2629" s="502"/>
      <c r="B2629" s="502"/>
      <c r="C2629" s="22"/>
      <c r="D2629" s="502"/>
    </row>
    <row r="2630" spans="1:4" x14ac:dyDescent="0.2">
      <c r="A2630" s="502"/>
      <c r="B2630" s="502"/>
      <c r="C2630" s="22"/>
      <c r="D2630" s="502"/>
    </row>
    <row r="2631" spans="1:4" x14ac:dyDescent="0.2">
      <c r="A2631" s="502"/>
      <c r="B2631" s="502"/>
      <c r="C2631" s="22"/>
      <c r="D2631" s="502"/>
    </row>
    <row r="2632" spans="1:4" x14ac:dyDescent="0.2">
      <c r="A2632" s="502"/>
      <c r="B2632" s="502"/>
      <c r="C2632" s="22"/>
      <c r="D2632" s="502"/>
    </row>
    <row r="2633" spans="1:4" x14ac:dyDescent="0.2">
      <c r="A2633" s="502"/>
      <c r="B2633" s="502"/>
      <c r="C2633" s="22"/>
      <c r="D2633" s="502"/>
    </row>
    <row r="2634" spans="1:4" x14ac:dyDescent="0.2">
      <c r="A2634" s="502"/>
      <c r="B2634" s="502"/>
      <c r="C2634" s="22"/>
      <c r="D2634" s="502"/>
    </row>
    <row r="2635" spans="1:4" x14ac:dyDescent="0.2">
      <c r="A2635" s="502"/>
      <c r="B2635" s="502"/>
      <c r="C2635" s="22"/>
      <c r="D2635" s="502"/>
    </row>
    <row r="2636" spans="1:4" x14ac:dyDescent="0.2">
      <c r="A2636" s="502"/>
      <c r="B2636" s="502"/>
      <c r="C2636" s="22"/>
      <c r="D2636" s="502"/>
    </row>
    <row r="2637" spans="1:4" x14ac:dyDescent="0.2">
      <c r="A2637" s="502"/>
      <c r="B2637" s="502"/>
      <c r="C2637" s="22"/>
      <c r="D2637" s="502"/>
    </row>
    <row r="2638" spans="1:4" x14ac:dyDescent="0.2">
      <c r="A2638" s="502"/>
      <c r="B2638" s="502"/>
      <c r="C2638" s="22"/>
      <c r="D2638" s="502"/>
    </row>
    <row r="2639" spans="1:4" x14ac:dyDescent="0.2">
      <c r="A2639" s="502"/>
      <c r="B2639" s="502"/>
      <c r="C2639" s="22"/>
      <c r="D2639" s="502"/>
    </row>
    <row r="2640" spans="1:4" x14ac:dyDescent="0.2">
      <c r="A2640" s="502"/>
      <c r="B2640" s="502"/>
      <c r="C2640" s="22"/>
      <c r="D2640" s="502"/>
    </row>
    <row r="2641" spans="1:4" x14ac:dyDescent="0.2">
      <c r="A2641" s="502"/>
      <c r="B2641" s="502"/>
      <c r="C2641" s="22"/>
      <c r="D2641" s="502"/>
    </row>
    <row r="2642" spans="1:4" x14ac:dyDescent="0.2">
      <c r="A2642" s="502"/>
      <c r="B2642" s="502"/>
      <c r="C2642" s="22"/>
      <c r="D2642" s="502"/>
    </row>
    <row r="2643" spans="1:4" x14ac:dyDescent="0.2">
      <c r="A2643" s="502"/>
      <c r="B2643" s="502"/>
      <c r="C2643" s="22"/>
      <c r="D2643" s="502"/>
    </row>
    <row r="2644" spans="1:4" x14ac:dyDescent="0.2">
      <c r="A2644" s="502"/>
      <c r="B2644" s="502"/>
      <c r="C2644" s="22"/>
      <c r="D2644" s="502"/>
    </row>
    <row r="2645" spans="1:4" x14ac:dyDescent="0.2">
      <c r="A2645" s="502"/>
      <c r="B2645" s="502"/>
      <c r="C2645" s="22"/>
      <c r="D2645" s="502"/>
    </row>
    <row r="2646" spans="1:4" x14ac:dyDescent="0.2">
      <c r="A2646" s="502"/>
      <c r="B2646" s="502"/>
      <c r="C2646" s="22"/>
      <c r="D2646" s="502"/>
    </row>
    <row r="2647" spans="1:4" x14ac:dyDescent="0.2">
      <c r="A2647" s="502"/>
      <c r="B2647" s="502"/>
      <c r="C2647" s="22"/>
      <c r="D2647" s="502"/>
    </row>
    <row r="2648" spans="1:4" x14ac:dyDescent="0.2">
      <c r="A2648" s="502"/>
      <c r="B2648" s="502"/>
      <c r="C2648" s="22"/>
      <c r="D2648" s="502"/>
    </row>
    <row r="2649" spans="1:4" x14ac:dyDescent="0.2">
      <c r="A2649" s="502"/>
      <c r="B2649" s="502"/>
      <c r="C2649" s="22"/>
      <c r="D2649" s="502"/>
    </row>
    <row r="2650" spans="1:4" x14ac:dyDescent="0.2">
      <c r="A2650" s="502"/>
      <c r="B2650" s="502"/>
      <c r="C2650" s="22"/>
      <c r="D2650" s="502"/>
    </row>
    <row r="2651" spans="1:4" x14ac:dyDescent="0.2">
      <c r="A2651" s="502"/>
      <c r="B2651" s="502"/>
      <c r="C2651" s="22"/>
      <c r="D2651" s="502"/>
    </row>
    <row r="2652" spans="1:4" x14ac:dyDescent="0.2">
      <c r="A2652" s="502"/>
      <c r="B2652" s="502"/>
      <c r="C2652" s="22"/>
      <c r="D2652" s="502"/>
    </row>
    <row r="2653" spans="1:4" x14ac:dyDescent="0.2">
      <c r="A2653" s="502"/>
      <c r="B2653" s="502"/>
      <c r="C2653" s="22"/>
      <c r="D2653" s="502"/>
    </row>
    <row r="2654" spans="1:4" x14ac:dyDescent="0.2">
      <c r="A2654" s="502"/>
      <c r="B2654" s="502"/>
      <c r="C2654" s="22"/>
      <c r="D2654" s="502"/>
    </row>
    <row r="2655" spans="1:4" x14ac:dyDescent="0.2">
      <c r="A2655" s="502"/>
      <c r="B2655" s="502"/>
      <c r="C2655" s="22"/>
      <c r="D2655" s="502"/>
    </row>
    <row r="2656" spans="1:4" x14ac:dyDescent="0.2">
      <c r="A2656" s="502"/>
      <c r="B2656" s="502"/>
      <c r="C2656" s="22"/>
      <c r="D2656" s="502"/>
    </row>
    <row r="2657" spans="1:4" x14ac:dyDescent="0.2">
      <c r="A2657" s="502"/>
      <c r="B2657" s="502"/>
      <c r="C2657" s="22"/>
      <c r="D2657" s="502"/>
    </row>
    <row r="2658" spans="1:4" x14ac:dyDescent="0.2">
      <c r="A2658" s="502"/>
      <c r="B2658" s="502"/>
      <c r="C2658" s="22"/>
      <c r="D2658" s="502"/>
    </row>
    <row r="2659" spans="1:4" x14ac:dyDescent="0.2">
      <c r="A2659" s="502"/>
      <c r="B2659" s="502"/>
      <c r="C2659" s="22"/>
      <c r="D2659" s="502"/>
    </row>
    <row r="2660" spans="1:4" x14ac:dyDescent="0.2">
      <c r="A2660" s="502"/>
      <c r="B2660" s="502"/>
      <c r="C2660" s="22"/>
      <c r="D2660" s="502"/>
    </row>
    <row r="2661" spans="1:4" x14ac:dyDescent="0.2">
      <c r="A2661" s="502"/>
      <c r="B2661" s="502"/>
      <c r="C2661" s="22"/>
      <c r="D2661" s="502"/>
    </row>
    <row r="2662" spans="1:4" x14ac:dyDescent="0.2">
      <c r="A2662" s="502"/>
      <c r="B2662" s="502"/>
      <c r="C2662" s="22"/>
      <c r="D2662" s="502"/>
    </row>
    <row r="2663" spans="1:4" x14ac:dyDescent="0.2">
      <c r="A2663" s="502"/>
      <c r="B2663" s="502"/>
      <c r="C2663" s="22"/>
      <c r="D2663" s="502"/>
    </row>
    <row r="2664" spans="1:4" x14ac:dyDescent="0.2">
      <c r="A2664" s="502"/>
      <c r="B2664" s="502"/>
      <c r="C2664" s="22"/>
      <c r="D2664" s="502"/>
    </row>
    <row r="2665" spans="1:4" x14ac:dyDescent="0.2">
      <c r="A2665" s="502"/>
      <c r="B2665" s="502"/>
      <c r="C2665" s="22"/>
      <c r="D2665" s="502"/>
    </row>
    <row r="2666" spans="1:4" x14ac:dyDescent="0.2">
      <c r="A2666" s="502"/>
      <c r="B2666" s="502"/>
      <c r="C2666" s="22"/>
      <c r="D2666" s="502"/>
    </row>
    <row r="2667" spans="1:4" x14ac:dyDescent="0.2">
      <c r="A2667" s="502"/>
      <c r="B2667" s="502"/>
      <c r="C2667" s="22"/>
      <c r="D2667" s="502"/>
    </row>
    <row r="2668" spans="1:4" x14ac:dyDescent="0.2">
      <c r="A2668" s="502"/>
      <c r="B2668" s="502"/>
      <c r="C2668" s="22"/>
      <c r="D2668" s="502"/>
    </row>
    <row r="2669" spans="1:4" x14ac:dyDescent="0.2">
      <c r="A2669" s="502"/>
      <c r="B2669" s="502"/>
      <c r="C2669" s="22"/>
      <c r="D2669" s="502"/>
    </row>
    <row r="2670" spans="1:4" x14ac:dyDescent="0.2">
      <c r="A2670" s="502"/>
      <c r="B2670" s="502"/>
      <c r="C2670" s="22"/>
      <c r="D2670" s="502"/>
    </row>
    <row r="2671" spans="1:4" x14ac:dyDescent="0.2">
      <c r="A2671" s="502"/>
      <c r="B2671" s="502"/>
      <c r="C2671" s="22"/>
      <c r="D2671" s="502"/>
    </row>
    <row r="2672" spans="1:4" x14ac:dyDescent="0.2">
      <c r="A2672" s="502"/>
      <c r="B2672" s="502"/>
      <c r="C2672" s="22"/>
      <c r="D2672" s="502"/>
    </row>
    <row r="2673" spans="1:4" x14ac:dyDescent="0.2">
      <c r="A2673" s="502"/>
      <c r="B2673" s="502"/>
      <c r="C2673" s="22"/>
      <c r="D2673" s="502"/>
    </row>
    <row r="2674" spans="1:4" x14ac:dyDescent="0.2">
      <c r="A2674" s="502"/>
      <c r="B2674" s="502"/>
      <c r="C2674" s="22"/>
      <c r="D2674" s="502"/>
    </row>
    <row r="2675" spans="1:4" x14ac:dyDescent="0.2">
      <c r="A2675" s="502"/>
      <c r="B2675" s="502"/>
      <c r="C2675" s="22"/>
      <c r="D2675" s="502"/>
    </row>
    <row r="2676" spans="1:4" x14ac:dyDescent="0.2">
      <c r="A2676" s="502"/>
      <c r="B2676" s="502"/>
      <c r="C2676" s="22"/>
      <c r="D2676" s="502"/>
    </row>
    <row r="2677" spans="1:4" x14ac:dyDescent="0.2">
      <c r="A2677" s="502"/>
      <c r="B2677" s="502"/>
      <c r="C2677" s="22"/>
      <c r="D2677" s="502"/>
    </row>
    <row r="2678" spans="1:4" x14ac:dyDescent="0.2">
      <c r="A2678" s="502"/>
      <c r="B2678" s="502"/>
      <c r="C2678" s="22"/>
      <c r="D2678" s="502"/>
    </row>
    <row r="2679" spans="1:4" x14ac:dyDescent="0.2">
      <c r="A2679" s="502"/>
      <c r="B2679" s="502"/>
      <c r="C2679" s="22"/>
      <c r="D2679" s="502"/>
    </row>
    <row r="2680" spans="1:4" x14ac:dyDescent="0.2">
      <c r="A2680" s="502"/>
      <c r="B2680" s="502"/>
      <c r="C2680" s="22"/>
      <c r="D2680" s="502"/>
    </row>
    <row r="2681" spans="1:4" x14ac:dyDescent="0.2">
      <c r="A2681" s="502"/>
      <c r="B2681" s="502"/>
      <c r="C2681" s="22"/>
      <c r="D2681" s="502"/>
    </row>
    <row r="2682" spans="1:4" x14ac:dyDescent="0.2">
      <c r="A2682" s="502"/>
      <c r="B2682" s="502"/>
      <c r="C2682" s="22"/>
      <c r="D2682" s="502"/>
    </row>
    <row r="2683" spans="1:4" x14ac:dyDescent="0.2">
      <c r="A2683" s="502"/>
      <c r="B2683" s="502"/>
      <c r="C2683" s="22"/>
      <c r="D2683" s="502"/>
    </row>
    <row r="2684" spans="1:4" x14ac:dyDescent="0.2">
      <c r="A2684" s="502"/>
      <c r="B2684" s="502"/>
      <c r="C2684" s="22"/>
      <c r="D2684" s="502"/>
    </row>
    <row r="2685" spans="1:4" x14ac:dyDescent="0.2">
      <c r="A2685" s="502"/>
      <c r="B2685" s="502"/>
      <c r="C2685" s="22"/>
      <c r="D2685" s="502"/>
    </row>
    <row r="2686" spans="1:4" x14ac:dyDescent="0.2">
      <c r="A2686" s="502"/>
      <c r="B2686" s="502"/>
      <c r="C2686" s="22"/>
      <c r="D2686" s="502"/>
    </row>
    <row r="2687" spans="1:4" x14ac:dyDescent="0.2">
      <c r="A2687" s="502"/>
      <c r="B2687" s="502"/>
      <c r="C2687" s="22"/>
      <c r="D2687" s="502"/>
    </row>
    <row r="2688" spans="1:4" x14ac:dyDescent="0.2">
      <c r="A2688" s="502"/>
      <c r="B2688" s="502"/>
      <c r="C2688" s="22"/>
      <c r="D2688" s="502"/>
    </row>
    <row r="2689" spans="1:4" x14ac:dyDescent="0.2">
      <c r="A2689" s="502"/>
      <c r="B2689" s="502"/>
      <c r="C2689" s="22"/>
      <c r="D2689" s="502"/>
    </row>
    <row r="2690" spans="1:4" x14ac:dyDescent="0.2">
      <c r="A2690" s="502"/>
      <c r="B2690" s="502"/>
      <c r="C2690" s="22"/>
      <c r="D2690" s="502"/>
    </row>
    <row r="2691" spans="1:4" x14ac:dyDescent="0.2">
      <c r="A2691" s="502"/>
      <c r="B2691" s="502"/>
      <c r="C2691" s="22"/>
      <c r="D2691" s="502"/>
    </row>
    <row r="2692" spans="1:4" x14ac:dyDescent="0.2">
      <c r="A2692" s="502"/>
      <c r="B2692" s="502"/>
      <c r="C2692" s="22"/>
      <c r="D2692" s="502"/>
    </row>
    <row r="2693" spans="1:4" x14ac:dyDescent="0.2">
      <c r="A2693" s="502"/>
      <c r="B2693" s="502"/>
      <c r="C2693" s="22"/>
      <c r="D2693" s="502"/>
    </row>
    <row r="2694" spans="1:4" x14ac:dyDescent="0.2">
      <c r="A2694" s="502"/>
      <c r="B2694" s="502"/>
      <c r="C2694" s="22"/>
      <c r="D2694" s="502"/>
    </row>
    <row r="2695" spans="1:4" x14ac:dyDescent="0.2">
      <c r="A2695" s="502"/>
      <c r="B2695" s="502"/>
      <c r="C2695" s="22"/>
      <c r="D2695" s="502"/>
    </row>
    <row r="2696" spans="1:4" x14ac:dyDescent="0.2">
      <c r="A2696" s="502"/>
      <c r="B2696" s="502"/>
      <c r="C2696" s="22"/>
      <c r="D2696" s="502"/>
    </row>
    <row r="2697" spans="1:4" x14ac:dyDescent="0.2">
      <c r="A2697" s="502"/>
      <c r="B2697" s="502"/>
      <c r="C2697" s="22"/>
      <c r="D2697" s="502"/>
    </row>
    <row r="2698" spans="1:4" x14ac:dyDescent="0.2">
      <c r="A2698" s="502"/>
      <c r="B2698" s="502"/>
      <c r="C2698" s="22"/>
      <c r="D2698" s="502"/>
    </row>
    <row r="2699" spans="1:4" x14ac:dyDescent="0.2">
      <c r="A2699" s="502"/>
      <c r="B2699" s="502"/>
      <c r="C2699" s="22"/>
      <c r="D2699" s="502"/>
    </row>
    <row r="2700" spans="1:4" x14ac:dyDescent="0.2">
      <c r="A2700" s="502"/>
      <c r="B2700" s="502"/>
      <c r="C2700" s="22"/>
      <c r="D2700" s="502"/>
    </row>
    <row r="2701" spans="1:4" x14ac:dyDescent="0.2">
      <c r="A2701" s="502"/>
      <c r="B2701" s="502"/>
      <c r="C2701" s="22"/>
      <c r="D2701" s="502"/>
    </row>
    <row r="2702" spans="1:4" x14ac:dyDescent="0.2">
      <c r="A2702" s="502"/>
      <c r="B2702" s="502"/>
      <c r="C2702" s="22"/>
      <c r="D2702" s="502"/>
    </row>
    <row r="2703" spans="1:4" x14ac:dyDescent="0.2">
      <c r="A2703" s="502"/>
      <c r="B2703" s="502"/>
      <c r="C2703" s="22"/>
      <c r="D2703" s="502"/>
    </row>
    <row r="2704" spans="1:4" x14ac:dyDescent="0.2">
      <c r="A2704" s="502"/>
      <c r="B2704" s="502"/>
      <c r="C2704" s="22"/>
      <c r="D2704" s="502"/>
    </row>
    <row r="2705" spans="1:4" x14ac:dyDescent="0.2">
      <c r="A2705" s="502"/>
      <c r="B2705" s="502"/>
      <c r="C2705" s="22"/>
      <c r="D2705" s="502"/>
    </row>
    <row r="2706" spans="1:4" x14ac:dyDescent="0.2">
      <c r="A2706" s="502"/>
      <c r="B2706" s="502"/>
      <c r="C2706" s="22"/>
      <c r="D2706" s="502"/>
    </row>
    <row r="2707" spans="1:4" x14ac:dyDescent="0.2">
      <c r="A2707" s="502"/>
      <c r="B2707" s="502"/>
      <c r="C2707" s="22"/>
      <c r="D2707" s="502"/>
    </row>
    <row r="2708" spans="1:4" x14ac:dyDescent="0.2">
      <c r="A2708" s="502"/>
      <c r="B2708" s="502"/>
      <c r="C2708" s="22"/>
      <c r="D2708" s="502"/>
    </row>
    <row r="2709" spans="1:4" x14ac:dyDescent="0.2">
      <c r="A2709" s="502"/>
      <c r="B2709" s="502"/>
      <c r="C2709" s="22"/>
      <c r="D2709" s="502"/>
    </row>
    <row r="2710" spans="1:4" x14ac:dyDescent="0.2">
      <c r="A2710" s="502"/>
      <c r="B2710" s="502"/>
      <c r="C2710" s="22"/>
      <c r="D2710" s="502"/>
    </row>
    <row r="2711" spans="1:4" x14ac:dyDescent="0.2">
      <c r="A2711" s="502"/>
      <c r="B2711" s="502"/>
      <c r="C2711" s="22"/>
      <c r="D2711" s="502"/>
    </row>
    <row r="2712" spans="1:4" x14ac:dyDescent="0.2">
      <c r="A2712" s="502"/>
      <c r="B2712" s="502"/>
      <c r="C2712" s="22"/>
      <c r="D2712" s="502"/>
    </row>
    <row r="2713" spans="1:4" x14ac:dyDescent="0.2">
      <c r="A2713" s="502"/>
      <c r="B2713" s="502"/>
      <c r="C2713" s="22"/>
      <c r="D2713" s="502"/>
    </row>
    <row r="2714" spans="1:4" x14ac:dyDescent="0.2">
      <c r="A2714" s="502"/>
      <c r="B2714" s="502"/>
      <c r="C2714" s="22"/>
      <c r="D2714" s="502"/>
    </row>
    <row r="2715" spans="1:4" x14ac:dyDescent="0.2">
      <c r="A2715" s="502"/>
      <c r="B2715" s="502"/>
      <c r="C2715" s="22"/>
      <c r="D2715" s="502"/>
    </row>
    <row r="2716" spans="1:4" x14ac:dyDescent="0.2">
      <c r="A2716" s="502"/>
      <c r="B2716" s="502"/>
      <c r="C2716" s="22"/>
      <c r="D2716" s="502"/>
    </row>
    <row r="2717" spans="1:4" x14ac:dyDescent="0.2">
      <c r="A2717" s="502"/>
      <c r="B2717" s="502"/>
      <c r="C2717" s="22"/>
      <c r="D2717" s="502"/>
    </row>
    <row r="2718" spans="1:4" x14ac:dyDescent="0.2">
      <c r="A2718" s="502"/>
      <c r="B2718" s="502"/>
      <c r="C2718" s="22"/>
      <c r="D2718" s="502"/>
    </row>
    <row r="2719" spans="1:4" x14ac:dyDescent="0.2">
      <c r="A2719" s="502"/>
      <c r="B2719" s="502"/>
      <c r="C2719" s="22"/>
      <c r="D2719" s="502"/>
    </row>
    <row r="2720" spans="1:4" x14ac:dyDescent="0.2">
      <c r="A2720" s="502"/>
      <c r="B2720" s="502"/>
      <c r="C2720" s="22"/>
      <c r="D2720" s="502"/>
    </row>
    <row r="2721" spans="1:4" x14ac:dyDescent="0.2">
      <c r="A2721" s="502"/>
      <c r="B2721" s="502"/>
      <c r="C2721" s="22"/>
      <c r="D2721" s="502"/>
    </row>
    <row r="2722" spans="1:4" x14ac:dyDescent="0.2">
      <c r="A2722" s="502"/>
      <c r="B2722" s="502"/>
      <c r="C2722" s="22"/>
      <c r="D2722" s="502"/>
    </row>
    <row r="2723" spans="1:4" x14ac:dyDescent="0.2">
      <c r="A2723" s="502"/>
      <c r="B2723" s="502"/>
      <c r="C2723" s="22"/>
      <c r="D2723" s="502"/>
    </row>
    <row r="2724" spans="1:4" x14ac:dyDescent="0.2">
      <c r="A2724" s="502"/>
      <c r="B2724" s="502"/>
      <c r="C2724" s="22"/>
      <c r="D2724" s="502"/>
    </row>
    <row r="2725" spans="1:4" x14ac:dyDescent="0.2">
      <c r="A2725" s="502"/>
      <c r="B2725" s="502"/>
      <c r="C2725" s="22"/>
      <c r="D2725" s="502"/>
    </row>
    <row r="2726" spans="1:4" x14ac:dyDescent="0.2">
      <c r="A2726" s="502"/>
      <c r="B2726" s="502"/>
      <c r="C2726" s="22"/>
      <c r="D2726" s="502"/>
    </row>
    <row r="2727" spans="1:4" x14ac:dyDescent="0.2">
      <c r="A2727" s="502"/>
      <c r="B2727" s="502"/>
      <c r="C2727" s="22"/>
      <c r="D2727" s="502"/>
    </row>
    <row r="2728" spans="1:4" x14ac:dyDescent="0.2">
      <c r="A2728" s="502"/>
      <c r="B2728" s="502"/>
      <c r="C2728" s="22"/>
      <c r="D2728" s="502"/>
    </row>
    <row r="2729" spans="1:4" x14ac:dyDescent="0.2">
      <c r="A2729" s="502"/>
      <c r="B2729" s="502"/>
      <c r="C2729" s="22"/>
      <c r="D2729" s="502"/>
    </row>
    <row r="2730" spans="1:4" x14ac:dyDescent="0.2">
      <c r="A2730" s="502"/>
      <c r="B2730" s="502"/>
      <c r="C2730" s="22"/>
      <c r="D2730" s="502"/>
    </row>
    <row r="2731" spans="1:4" x14ac:dyDescent="0.2">
      <c r="A2731" s="502"/>
      <c r="B2731" s="502"/>
      <c r="C2731" s="22"/>
      <c r="D2731" s="502"/>
    </row>
    <row r="2732" spans="1:4" x14ac:dyDescent="0.2">
      <c r="A2732" s="502"/>
      <c r="B2732" s="502"/>
      <c r="C2732" s="22"/>
      <c r="D2732" s="502"/>
    </row>
    <row r="2733" spans="1:4" x14ac:dyDescent="0.2">
      <c r="A2733" s="502"/>
      <c r="B2733" s="502"/>
      <c r="C2733" s="22"/>
      <c r="D2733" s="502"/>
    </row>
    <row r="2734" spans="1:4" x14ac:dyDescent="0.2">
      <c r="A2734" s="502"/>
      <c r="B2734" s="502"/>
      <c r="C2734" s="22"/>
      <c r="D2734" s="502"/>
    </row>
    <row r="2735" spans="1:4" x14ac:dyDescent="0.2">
      <c r="A2735" s="502"/>
      <c r="B2735" s="502"/>
      <c r="C2735" s="22"/>
      <c r="D2735" s="502"/>
    </row>
    <row r="2736" spans="1:4" x14ac:dyDescent="0.2">
      <c r="A2736" s="502"/>
      <c r="B2736" s="502"/>
      <c r="C2736" s="22"/>
      <c r="D2736" s="502"/>
    </row>
    <row r="2737" spans="1:4" x14ac:dyDescent="0.2">
      <c r="A2737" s="502"/>
      <c r="B2737" s="502"/>
      <c r="C2737" s="22"/>
      <c r="D2737" s="502"/>
    </row>
    <row r="2738" spans="1:4" x14ac:dyDescent="0.2">
      <c r="A2738" s="502"/>
      <c r="B2738" s="502"/>
      <c r="C2738" s="22"/>
      <c r="D2738" s="502"/>
    </row>
    <row r="2739" spans="1:4" x14ac:dyDescent="0.2">
      <c r="A2739" s="502"/>
      <c r="B2739" s="502"/>
      <c r="C2739" s="22"/>
      <c r="D2739" s="502"/>
    </row>
    <row r="2740" spans="1:4" x14ac:dyDescent="0.2">
      <c r="A2740" s="502"/>
      <c r="B2740" s="502"/>
      <c r="C2740" s="22"/>
      <c r="D2740" s="502"/>
    </row>
    <row r="2741" spans="1:4" x14ac:dyDescent="0.2">
      <c r="A2741" s="502"/>
      <c r="B2741" s="502"/>
      <c r="C2741" s="22"/>
      <c r="D2741" s="502"/>
    </row>
    <row r="2742" spans="1:4" x14ac:dyDescent="0.2">
      <c r="A2742" s="502"/>
      <c r="B2742" s="502"/>
      <c r="C2742" s="22"/>
      <c r="D2742" s="502"/>
    </row>
    <row r="2743" spans="1:4" x14ac:dyDescent="0.2">
      <c r="A2743" s="502"/>
      <c r="B2743" s="502"/>
      <c r="C2743" s="22"/>
      <c r="D2743" s="502"/>
    </row>
    <row r="2744" spans="1:4" x14ac:dyDescent="0.2">
      <c r="A2744" s="502"/>
      <c r="B2744" s="502"/>
      <c r="C2744" s="22"/>
      <c r="D2744" s="502"/>
    </row>
    <row r="2745" spans="1:4" x14ac:dyDescent="0.2">
      <c r="A2745" s="502"/>
      <c r="B2745" s="502"/>
      <c r="C2745" s="22"/>
      <c r="D2745" s="502"/>
    </row>
    <row r="2746" spans="1:4" x14ac:dyDescent="0.2">
      <c r="A2746" s="502"/>
      <c r="B2746" s="502"/>
      <c r="C2746" s="22"/>
      <c r="D2746" s="502"/>
    </row>
    <row r="2747" spans="1:4" x14ac:dyDescent="0.2">
      <c r="A2747" s="502"/>
      <c r="B2747" s="502"/>
      <c r="C2747" s="22"/>
      <c r="D2747" s="502"/>
    </row>
    <row r="2748" spans="1:4" x14ac:dyDescent="0.2">
      <c r="A2748" s="502"/>
      <c r="B2748" s="502"/>
      <c r="C2748" s="22"/>
      <c r="D2748" s="502"/>
    </row>
    <row r="2749" spans="1:4" x14ac:dyDescent="0.2">
      <c r="A2749" s="502"/>
      <c r="B2749" s="502"/>
      <c r="C2749" s="22"/>
      <c r="D2749" s="502"/>
    </row>
    <row r="2750" spans="1:4" x14ac:dyDescent="0.2">
      <c r="A2750" s="502"/>
      <c r="B2750" s="502"/>
      <c r="C2750" s="22"/>
      <c r="D2750" s="502"/>
    </row>
    <row r="2751" spans="1:4" x14ac:dyDescent="0.2">
      <c r="A2751" s="502"/>
      <c r="B2751" s="502"/>
      <c r="C2751" s="22"/>
      <c r="D2751" s="502"/>
    </row>
    <row r="2752" spans="1:4" x14ac:dyDescent="0.2">
      <c r="A2752" s="502"/>
      <c r="B2752" s="502"/>
      <c r="C2752" s="22"/>
      <c r="D2752" s="502"/>
    </row>
    <row r="2753" spans="1:4" x14ac:dyDescent="0.2">
      <c r="A2753" s="502"/>
      <c r="B2753" s="502"/>
      <c r="C2753" s="22"/>
      <c r="D2753" s="502"/>
    </row>
    <row r="2754" spans="1:4" x14ac:dyDescent="0.2">
      <c r="A2754" s="502"/>
      <c r="B2754" s="502"/>
      <c r="C2754" s="22"/>
      <c r="D2754" s="502"/>
    </row>
    <row r="2755" spans="1:4" x14ac:dyDescent="0.2">
      <c r="A2755" s="502"/>
      <c r="B2755" s="502"/>
      <c r="C2755" s="22"/>
      <c r="D2755" s="502"/>
    </row>
    <row r="2756" spans="1:4" x14ac:dyDescent="0.2">
      <c r="A2756" s="502"/>
      <c r="B2756" s="502"/>
      <c r="C2756" s="22"/>
      <c r="D2756" s="502"/>
    </row>
    <row r="2757" spans="1:4" x14ac:dyDescent="0.2">
      <c r="A2757" s="502"/>
      <c r="B2757" s="502"/>
      <c r="C2757" s="22"/>
      <c r="D2757" s="502"/>
    </row>
    <row r="2758" spans="1:4" x14ac:dyDescent="0.2">
      <c r="A2758" s="502"/>
      <c r="B2758" s="502"/>
      <c r="C2758" s="22"/>
      <c r="D2758" s="502"/>
    </row>
    <row r="2759" spans="1:4" x14ac:dyDescent="0.2">
      <c r="A2759" s="502"/>
      <c r="B2759" s="502"/>
      <c r="C2759" s="22"/>
      <c r="D2759" s="502"/>
    </row>
    <row r="2760" spans="1:4" x14ac:dyDescent="0.2">
      <c r="A2760" s="502"/>
      <c r="B2760" s="502"/>
      <c r="C2760" s="22"/>
      <c r="D2760" s="502"/>
    </row>
    <row r="2761" spans="1:4" x14ac:dyDescent="0.2">
      <c r="A2761" s="502"/>
      <c r="B2761" s="502"/>
      <c r="C2761" s="22"/>
      <c r="D2761" s="502"/>
    </row>
    <row r="2762" spans="1:4" x14ac:dyDescent="0.2">
      <c r="A2762" s="502"/>
      <c r="B2762" s="502"/>
      <c r="C2762" s="22"/>
      <c r="D2762" s="502"/>
    </row>
    <row r="2763" spans="1:4" x14ac:dyDescent="0.2">
      <c r="A2763" s="502"/>
      <c r="B2763" s="502"/>
      <c r="C2763" s="22"/>
      <c r="D2763" s="502"/>
    </row>
    <row r="2764" spans="1:4" x14ac:dyDescent="0.2">
      <c r="A2764" s="502"/>
      <c r="B2764" s="502"/>
      <c r="C2764" s="22"/>
      <c r="D2764" s="502"/>
    </row>
    <row r="2765" spans="1:4" x14ac:dyDescent="0.2">
      <c r="A2765" s="502"/>
      <c r="B2765" s="502"/>
      <c r="C2765" s="22"/>
      <c r="D2765" s="502"/>
    </row>
    <row r="2766" spans="1:4" x14ac:dyDescent="0.2">
      <c r="A2766" s="502"/>
      <c r="B2766" s="502"/>
      <c r="C2766" s="22"/>
      <c r="D2766" s="502"/>
    </row>
    <row r="2767" spans="1:4" x14ac:dyDescent="0.2">
      <c r="A2767" s="502"/>
      <c r="B2767" s="502"/>
      <c r="C2767" s="22"/>
      <c r="D2767" s="502"/>
    </row>
    <row r="2768" spans="1:4" x14ac:dyDescent="0.2">
      <c r="A2768" s="502"/>
      <c r="B2768" s="502"/>
      <c r="C2768" s="22"/>
      <c r="D2768" s="502"/>
    </row>
    <row r="2769" spans="1:4" x14ac:dyDescent="0.2">
      <c r="A2769" s="502"/>
      <c r="B2769" s="502"/>
      <c r="C2769" s="22"/>
      <c r="D2769" s="502"/>
    </row>
    <row r="2770" spans="1:4" x14ac:dyDescent="0.2">
      <c r="A2770" s="502"/>
      <c r="B2770" s="502"/>
      <c r="C2770" s="22"/>
      <c r="D2770" s="502"/>
    </row>
    <row r="2771" spans="1:4" x14ac:dyDescent="0.2">
      <c r="A2771" s="502"/>
      <c r="B2771" s="502"/>
      <c r="C2771" s="22"/>
      <c r="D2771" s="502"/>
    </row>
    <row r="2772" spans="1:4" x14ac:dyDescent="0.2">
      <c r="A2772" s="502"/>
      <c r="B2772" s="502"/>
      <c r="C2772" s="22"/>
      <c r="D2772" s="502"/>
    </row>
    <row r="2773" spans="1:4" x14ac:dyDescent="0.2">
      <c r="A2773" s="502"/>
      <c r="B2773" s="502"/>
      <c r="C2773" s="22"/>
      <c r="D2773" s="502"/>
    </row>
    <row r="2774" spans="1:4" x14ac:dyDescent="0.2">
      <c r="A2774" s="502"/>
      <c r="B2774" s="502"/>
      <c r="C2774" s="22"/>
      <c r="D2774" s="502"/>
    </row>
    <row r="2775" spans="1:4" x14ac:dyDescent="0.2">
      <c r="A2775" s="502"/>
      <c r="B2775" s="502"/>
      <c r="C2775" s="22"/>
      <c r="D2775" s="502"/>
    </row>
    <row r="2776" spans="1:4" x14ac:dyDescent="0.2">
      <c r="A2776" s="502"/>
      <c r="B2776" s="502"/>
      <c r="C2776" s="22"/>
      <c r="D2776" s="502"/>
    </row>
    <row r="2777" spans="1:4" x14ac:dyDescent="0.2">
      <c r="A2777" s="502"/>
      <c r="B2777" s="502"/>
      <c r="C2777" s="22"/>
      <c r="D2777" s="502"/>
    </row>
    <row r="2778" spans="1:4" x14ac:dyDescent="0.2">
      <c r="A2778" s="502"/>
      <c r="B2778" s="502"/>
      <c r="C2778" s="22"/>
      <c r="D2778" s="502"/>
    </row>
    <row r="2779" spans="1:4" x14ac:dyDescent="0.2">
      <c r="A2779" s="502"/>
      <c r="B2779" s="502"/>
      <c r="C2779" s="22"/>
      <c r="D2779" s="502"/>
    </row>
    <row r="2780" spans="1:4" x14ac:dyDescent="0.2">
      <c r="A2780" s="502"/>
      <c r="B2780" s="502"/>
      <c r="C2780" s="22"/>
      <c r="D2780" s="502"/>
    </row>
    <row r="2781" spans="1:4" x14ac:dyDescent="0.2">
      <c r="A2781" s="502"/>
      <c r="B2781" s="502"/>
      <c r="C2781" s="22"/>
      <c r="D2781" s="502"/>
    </row>
    <row r="2782" spans="1:4" x14ac:dyDescent="0.2">
      <c r="A2782" s="502"/>
      <c r="B2782" s="502"/>
      <c r="C2782" s="22"/>
      <c r="D2782" s="502"/>
    </row>
    <row r="2783" spans="1:4" x14ac:dyDescent="0.2">
      <c r="A2783" s="502"/>
      <c r="B2783" s="502"/>
      <c r="C2783" s="22"/>
      <c r="D2783" s="502"/>
    </row>
    <row r="2784" spans="1:4" x14ac:dyDescent="0.2">
      <c r="A2784" s="502"/>
      <c r="B2784" s="502"/>
      <c r="C2784" s="22"/>
      <c r="D2784" s="502"/>
    </row>
    <row r="2785" spans="1:4" x14ac:dyDescent="0.2">
      <c r="A2785" s="502"/>
      <c r="B2785" s="502"/>
      <c r="C2785" s="22"/>
      <c r="D2785" s="502"/>
    </row>
    <row r="2786" spans="1:4" x14ac:dyDescent="0.2">
      <c r="A2786" s="502"/>
      <c r="B2786" s="502"/>
      <c r="C2786" s="22"/>
      <c r="D2786" s="502"/>
    </row>
    <row r="2787" spans="1:4" x14ac:dyDescent="0.2">
      <c r="A2787" s="502"/>
      <c r="B2787" s="502"/>
      <c r="C2787" s="22"/>
      <c r="D2787" s="502"/>
    </row>
    <row r="2788" spans="1:4" x14ac:dyDescent="0.2">
      <c r="A2788" s="502"/>
      <c r="B2788" s="502"/>
      <c r="C2788" s="22"/>
      <c r="D2788" s="502"/>
    </row>
    <row r="2789" spans="1:4" x14ac:dyDescent="0.2">
      <c r="A2789" s="502"/>
      <c r="B2789" s="502"/>
      <c r="C2789" s="22"/>
      <c r="D2789" s="502"/>
    </row>
    <row r="2790" spans="1:4" x14ac:dyDescent="0.2">
      <c r="A2790" s="502"/>
      <c r="B2790" s="502"/>
      <c r="C2790" s="22"/>
      <c r="D2790" s="502"/>
    </row>
    <row r="2791" spans="1:4" x14ac:dyDescent="0.2">
      <c r="A2791" s="502"/>
      <c r="B2791" s="502"/>
      <c r="C2791" s="22"/>
      <c r="D2791" s="502"/>
    </row>
    <row r="2792" spans="1:4" x14ac:dyDescent="0.2">
      <c r="A2792" s="502"/>
      <c r="B2792" s="502"/>
      <c r="C2792" s="22"/>
      <c r="D2792" s="502"/>
    </row>
    <row r="2793" spans="1:4" x14ac:dyDescent="0.2">
      <c r="A2793" s="502"/>
      <c r="B2793" s="502"/>
      <c r="C2793" s="22"/>
      <c r="D2793" s="502"/>
    </row>
    <row r="2794" spans="1:4" x14ac:dyDescent="0.2">
      <c r="A2794" s="502"/>
      <c r="B2794" s="502"/>
      <c r="C2794" s="22"/>
      <c r="D2794" s="502"/>
    </row>
    <row r="2795" spans="1:4" x14ac:dyDescent="0.2">
      <c r="A2795" s="502"/>
      <c r="B2795" s="502"/>
      <c r="C2795" s="22"/>
      <c r="D2795" s="502"/>
    </row>
    <row r="2796" spans="1:4" x14ac:dyDescent="0.2">
      <c r="A2796" s="502"/>
      <c r="B2796" s="502"/>
      <c r="C2796" s="22"/>
      <c r="D2796" s="502"/>
    </row>
    <row r="2797" spans="1:4" x14ac:dyDescent="0.2">
      <c r="A2797" s="502"/>
      <c r="B2797" s="502"/>
      <c r="C2797" s="22"/>
      <c r="D2797" s="502"/>
    </row>
    <row r="2798" spans="1:4" x14ac:dyDescent="0.2">
      <c r="A2798" s="502"/>
      <c r="B2798" s="502"/>
      <c r="C2798" s="22"/>
      <c r="D2798" s="502"/>
    </row>
    <row r="2799" spans="1:4" x14ac:dyDescent="0.2">
      <c r="A2799" s="502"/>
      <c r="B2799" s="502"/>
      <c r="C2799" s="22"/>
      <c r="D2799" s="502"/>
    </row>
    <row r="2800" spans="1:4" x14ac:dyDescent="0.2">
      <c r="A2800" s="502"/>
      <c r="B2800" s="502"/>
      <c r="C2800" s="22"/>
      <c r="D2800" s="502"/>
    </row>
    <row r="2801" spans="1:4" x14ac:dyDescent="0.2">
      <c r="A2801" s="502"/>
      <c r="B2801" s="502"/>
      <c r="C2801" s="22"/>
      <c r="D2801" s="502"/>
    </row>
    <row r="2802" spans="1:4" x14ac:dyDescent="0.2">
      <c r="A2802" s="502"/>
      <c r="B2802" s="502"/>
      <c r="C2802" s="22"/>
      <c r="D2802" s="502"/>
    </row>
    <row r="2803" spans="1:4" x14ac:dyDescent="0.2">
      <c r="A2803" s="502"/>
      <c r="B2803" s="502"/>
      <c r="C2803" s="22"/>
      <c r="D2803" s="502"/>
    </row>
    <row r="2804" spans="1:4" x14ac:dyDescent="0.2">
      <c r="A2804" s="502"/>
      <c r="B2804" s="502"/>
      <c r="C2804" s="22"/>
      <c r="D2804" s="502"/>
    </row>
    <row r="2805" spans="1:4" x14ac:dyDescent="0.2">
      <c r="A2805" s="502"/>
      <c r="B2805" s="502"/>
      <c r="C2805" s="22"/>
      <c r="D2805" s="502"/>
    </row>
    <row r="2806" spans="1:4" x14ac:dyDescent="0.2">
      <c r="A2806" s="502"/>
      <c r="B2806" s="502"/>
      <c r="C2806" s="22"/>
      <c r="D2806" s="502"/>
    </row>
    <row r="2807" spans="1:4" x14ac:dyDescent="0.2">
      <c r="A2807" s="502"/>
      <c r="B2807" s="502"/>
      <c r="C2807" s="22"/>
      <c r="D2807" s="502"/>
    </row>
    <row r="2808" spans="1:4" x14ac:dyDescent="0.2">
      <c r="A2808" s="502"/>
      <c r="B2808" s="502"/>
      <c r="C2808" s="22"/>
      <c r="D2808" s="502"/>
    </row>
    <row r="2809" spans="1:4" x14ac:dyDescent="0.2">
      <c r="A2809" s="502"/>
      <c r="B2809" s="502"/>
      <c r="C2809" s="22"/>
      <c r="D2809" s="502"/>
    </row>
    <row r="2810" spans="1:4" x14ac:dyDescent="0.2">
      <c r="A2810" s="502"/>
      <c r="B2810" s="502"/>
      <c r="C2810" s="22"/>
      <c r="D2810" s="502"/>
    </row>
    <row r="2811" spans="1:4" x14ac:dyDescent="0.2">
      <c r="A2811" s="502"/>
      <c r="B2811" s="502"/>
      <c r="C2811" s="22"/>
      <c r="D2811" s="502"/>
    </row>
    <row r="2812" spans="1:4" x14ac:dyDescent="0.2">
      <c r="A2812" s="502"/>
      <c r="B2812" s="502"/>
      <c r="C2812" s="22"/>
      <c r="D2812" s="502"/>
    </row>
    <row r="2813" spans="1:4" x14ac:dyDescent="0.2">
      <c r="A2813" s="502"/>
      <c r="B2813" s="502"/>
      <c r="C2813" s="22"/>
      <c r="D2813" s="502"/>
    </row>
    <row r="2814" spans="1:4" x14ac:dyDescent="0.2">
      <c r="A2814" s="502"/>
      <c r="B2814" s="502"/>
      <c r="C2814" s="22"/>
      <c r="D2814" s="502"/>
    </row>
    <row r="2815" spans="1:4" x14ac:dyDescent="0.2">
      <c r="A2815" s="502"/>
      <c r="B2815" s="502"/>
      <c r="C2815" s="22"/>
      <c r="D2815" s="502"/>
    </row>
    <row r="2816" spans="1:4" x14ac:dyDescent="0.2">
      <c r="A2816" s="502"/>
      <c r="B2816" s="502"/>
      <c r="C2816" s="22"/>
      <c r="D2816" s="502"/>
    </row>
    <row r="2817" spans="1:4" x14ac:dyDescent="0.2">
      <c r="A2817" s="502"/>
      <c r="B2817" s="502"/>
      <c r="C2817" s="22"/>
      <c r="D2817" s="502"/>
    </row>
    <row r="2818" spans="1:4" x14ac:dyDescent="0.2">
      <c r="A2818" s="502"/>
      <c r="B2818" s="502"/>
      <c r="C2818" s="22"/>
      <c r="D2818" s="502"/>
    </row>
    <row r="2819" spans="1:4" x14ac:dyDescent="0.2">
      <c r="A2819" s="502"/>
      <c r="B2819" s="502"/>
      <c r="C2819" s="22"/>
      <c r="D2819" s="502"/>
    </row>
    <row r="2820" spans="1:4" x14ac:dyDescent="0.2">
      <c r="A2820" s="502"/>
      <c r="B2820" s="502"/>
      <c r="C2820" s="22"/>
      <c r="D2820" s="502"/>
    </row>
    <row r="2821" spans="1:4" x14ac:dyDescent="0.2">
      <c r="A2821" s="502"/>
      <c r="B2821" s="502"/>
      <c r="C2821" s="22"/>
      <c r="D2821" s="502"/>
    </row>
    <row r="2822" spans="1:4" x14ac:dyDescent="0.2">
      <c r="A2822" s="502"/>
      <c r="B2822" s="502"/>
      <c r="C2822" s="22"/>
      <c r="D2822" s="502"/>
    </row>
    <row r="2823" spans="1:4" x14ac:dyDescent="0.2">
      <c r="A2823" s="502"/>
      <c r="B2823" s="502"/>
      <c r="C2823" s="22"/>
      <c r="D2823" s="502"/>
    </row>
    <row r="2824" spans="1:4" x14ac:dyDescent="0.2">
      <c r="A2824" s="502"/>
      <c r="B2824" s="502"/>
      <c r="C2824" s="22"/>
      <c r="D2824" s="502"/>
    </row>
    <row r="2825" spans="1:4" x14ac:dyDescent="0.2">
      <c r="A2825" s="502"/>
      <c r="B2825" s="502"/>
      <c r="C2825" s="22"/>
      <c r="D2825" s="502"/>
    </row>
    <row r="2826" spans="1:4" x14ac:dyDescent="0.2">
      <c r="A2826" s="502"/>
      <c r="B2826" s="502"/>
      <c r="C2826" s="22"/>
      <c r="D2826" s="502"/>
    </row>
    <row r="2827" spans="1:4" x14ac:dyDescent="0.2">
      <c r="A2827" s="502"/>
      <c r="B2827" s="502"/>
      <c r="C2827" s="22"/>
      <c r="D2827" s="502"/>
    </row>
    <row r="2828" spans="1:4" x14ac:dyDescent="0.2">
      <c r="A2828" s="502"/>
      <c r="B2828" s="502"/>
      <c r="C2828" s="22"/>
      <c r="D2828" s="502"/>
    </row>
    <row r="2829" spans="1:4" x14ac:dyDescent="0.2">
      <c r="A2829" s="502"/>
      <c r="B2829" s="502"/>
      <c r="C2829" s="22"/>
      <c r="D2829" s="502"/>
    </row>
    <row r="2830" spans="1:4" x14ac:dyDescent="0.2">
      <c r="A2830" s="502"/>
      <c r="B2830" s="502"/>
      <c r="C2830" s="22"/>
      <c r="D2830" s="502"/>
    </row>
    <row r="2831" spans="1:4" x14ac:dyDescent="0.2">
      <c r="A2831" s="502"/>
      <c r="B2831" s="502"/>
      <c r="C2831" s="22"/>
      <c r="D2831" s="502"/>
    </row>
    <row r="2832" spans="1:4" x14ac:dyDescent="0.2">
      <c r="A2832" s="502"/>
      <c r="B2832" s="502"/>
      <c r="C2832" s="22"/>
      <c r="D2832" s="502"/>
    </row>
    <row r="2833" spans="1:4" x14ac:dyDescent="0.2">
      <c r="A2833" s="502"/>
      <c r="B2833" s="502"/>
      <c r="C2833" s="22"/>
      <c r="D2833" s="502"/>
    </row>
    <row r="2834" spans="1:4" x14ac:dyDescent="0.2">
      <c r="A2834" s="502"/>
      <c r="B2834" s="502"/>
      <c r="C2834" s="22"/>
      <c r="D2834" s="502"/>
    </row>
    <row r="2835" spans="1:4" x14ac:dyDescent="0.2">
      <c r="A2835" s="502"/>
      <c r="B2835" s="502"/>
      <c r="C2835" s="22"/>
      <c r="D2835" s="502"/>
    </row>
    <row r="2836" spans="1:4" x14ac:dyDescent="0.2">
      <c r="A2836" s="502"/>
      <c r="B2836" s="502"/>
      <c r="C2836" s="22"/>
      <c r="D2836" s="502"/>
    </row>
    <row r="2837" spans="1:4" x14ac:dyDescent="0.2">
      <c r="A2837" s="502"/>
      <c r="B2837" s="502"/>
      <c r="C2837" s="22"/>
      <c r="D2837" s="502"/>
    </row>
    <row r="2838" spans="1:4" x14ac:dyDescent="0.2">
      <c r="A2838" s="502"/>
      <c r="B2838" s="502"/>
      <c r="C2838" s="22"/>
      <c r="D2838" s="502"/>
    </row>
    <row r="2839" spans="1:4" x14ac:dyDescent="0.2">
      <c r="A2839" s="502"/>
      <c r="B2839" s="502"/>
      <c r="C2839" s="22"/>
      <c r="D2839" s="502"/>
    </row>
    <row r="2840" spans="1:4" x14ac:dyDescent="0.2">
      <c r="A2840" s="502"/>
      <c r="B2840" s="502"/>
      <c r="C2840" s="22"/>
      <c r="D2840" s="502"/>
    </row>
    <row r="2841" spans="1:4" x14ac:dyDescent="0.2">
      <c r="A2841" s="502"/>
      <c r="B2841" s="502"/>
      <c r="C2841" s="22"/>
      <c r="D2841" s="502"/>
    </row>
    <row r="2842" spans="1:4" x14ac:dyDescent="0.2">
      <c r="A2842" s="502"/>
      <c r="B2842" s="502"/>
      <c r="C2842" s="22"/>
      <c r="D2842" s="502"/>
    </row>
    <row r="2843" spans="1:4" x14ac:dyDescent="0.2">
      <c r="A2843" s="502"/>
      <c r="B2843" s="502"/>
      <c r="C2843" s="22"/>
      <c r="D2843" s="502"/>
    </row>
    <row r="2844" spans="1:4" x14ac:dyDescent="0.2">
      <c r="A2844" s="502"/>
      <c r="B2844" s="502"/>
      <c r="C2844" s="22"/>
      <c r="D2844" s="502"/>
    </row>
    <row r="2845" spans="1:4" x14ac:dyDescent="0.2">
      <c r="A2845" s="502"/>
      <c r="B2845" s="502"/>
      <c r="C2845" s="22"/>
      <c r="D2845" s="502"/>
    </row>
    <row r="2846" spans="1:4" x14ac:dyDescent="0.2">
      <c r="A2846" s="502"/>
      <c r="B2846" s="502"/>
      <c r="C2846" s="22"/>
      <c r="D2846" s="502"/>
    </row>
    <row r="2847" spans="1:4" x14ac:dyDescent="0.2">
      <c r="A2847" s="502"/>
      <c r="B2847" s="502"/>
      <c r="C2847" s="22"/>
      <c r="D2847" s="502"/>
    </row>
    <row r="2848" spans="1:4" x14ac:dyDescent="0.2">
      <c r="A2848" s="502"/>
      <c r="B2848" s="502"/>
      <c r="C2848" s="22"/>
      <c r="D2848" s="502"/>
    </row>
    <row r="2849" spans="1:4" x14ac:dyDescent="0.2">
      <c r="A2849" s="502"/>
      <c r="B2849" s="502"/>
      <c r="C2849" s="22"/>
      <c r="D2849" s="502"/>
    </row>
    <row r="2850" spans="1:4" x14ac:dyDescent="0.2">
      <c r="A2850" s="502"/>
      <c r="B2850" s="502"/>
      <c r="C2850" s="22"/>
      <c r="D2850" s="502"/>
    </row>
    <row r="2851" spans="1:4" x14ac:dyDescent="0.2">
      <c r="A2851" s="502"/>
      <c r="B2851" s="502"/>
      <c r="C2851" s="22"/>
      <c r="D2851" s="502"/>
    </row>
    <row r="2852" spans="1:4" x14ac:dyDescent="0.2">
      <c r="A2852" s="502"/>
      <c r="B2852" s="502"/>
      <c r="C2852" s="22"/>
      <c r="D2852" s="502"/>
    </row>
    <row r="2853" spans="1:4" x14ac:dyDescent="0.2">
      <c r="A2853" s="502"/>
      <c r="B2853" s="502"/>
      <c r="C2853" s="22"/>
      <c r="D2853" s="502"/>
    </row>
    <row r="2854" spans="1:4" x14ac:dyDescent="0.2">
      <c r="A2854" s="502"/>
      <c r="B2854" s="502"/>
      <c r="C2854" s="22"/>
      <c r="D2854" s="502"/>
    </row>
    <row r="2855" spans="1:4" x14ac:dyDescent="0.2">
      <c r="A2855" s="502"/>
      <c r="B2855" s="502"/>
      <c r="C2855" s="22"/>
      <c r="D2855" s="502"/>
    </row>
    <row r="2856" spans="1:4" x14ac:dyDescent="0.2">
      <c r="A2856" s="502"/>
      <c r="B2856" s="502"/>
      <c r="C2856" s="22"/>
      <c r="D2856" s="502"/>
    </row>
    <row r="2857" spans="1:4" x14ac:dyDescent="0.2">
      <c r="A2857" s="502"/>
      <c r="B2857" s="502"/>
      <c r="C2857" s="22"/>
      <c r="D2857" s="502"/>
    </row>
    <row r="2858" spans="1:4" x14ac:dyDescent="0.2">
      <c r="A2858" s="502"/>
      <c r="B2858" s="502"/>
      <c r="C2858" s="22"/>
      <c r="D2858" s="502"/>
    </row>
    <row r="2859" spans="1:4" x14ac:dyDescent="0.2">
      <c r="A2859" s="502"/>
      <c r="B2859" s="502"/>
      <c r="C2859" s="22"/>
      <c r="D2859" s="502"/>
    </row>
    <row r="2860" spans="1:4" x14ac:dyDescent="0.2">
      <c r="A2860" s="502"/>
      <c r="B2860" s="502"/>
      <c r="C2860" s="22"/>
      <c r="D2860" s="502"/>
    </row>
    <row r="2861" spans="1:4" x14ac:dyDescent="0.2">
      <c r="A2861" s="502"/>
      <c r="B2861" s="502"/>
      <c r="C2861" s="22"/>
      <c r="D2861" s="502"/>
    </row>
    <row r="2862" spans="1:4" x14ac:dyDescent="0.2">
      <c r="A2862" s="502"/>
      <c r="B2862" s="502"/>
      <c r="C2862" s="22"/>
      <c r="D2862" s="502"/>
    </row>
    <row r="2863" spans="1:4" x14ac:dyDescent="0.2">
      <c r="A2863" s="502"/>
      <c r="B2863" s="502"/>
      <c r="C2863" s="22"/>
      <c r="D2863" s="502"/>
    </row>
    <row r="2864" spans="1:4" x14ac:dyDescent="0.2">
      <c r="A2864" s="502"/>
      <c r="B2864" s="502"/>
      <c r="C2864" s="22"/>
      <c r="D2864" s="502"/>
    </row>
    <row r="2865" spans="1:4" x14ac:dyDescent="0.2">
      <c r="A2865" s="502"/>
      <c r="B2865" s="502"/>
      <c r="C2865" s="22"/>
      <c r="D2865" s="502"/>
    </row>
    <row r="2866" spans="1:4" x14ac:dyDescent="0.2">
      <c r="A2866" s="502"/>
      <c r="B2866" s="502"/>
      <c r="C2866" s="22"/>
      <c r="D2866" s="502"/>
    </row>
    <row r="2867" spans="1:4" x14ac:dyDescent="0.2">
      <c r="A2867" s="502"/>
      <c r="B2867" s="502"/>
      <c r="C2867" s="22"/>
      <c r="D2867" s="502"/>
    </row>
    <row r="2868" spans="1:4" x14ac:dyDescent="0.2">
      <c r="A2868" s="502"/>
      <c r="B2868" s="502"/>
      <c r="C2868" s="22"/>
      <c r="D2868" s="502"/>
    </row>
    <row r="2869" spans="1:4" x14ac:dyDescent="0.2">
      <c r="A2869" s="502"/>
      <c r="B2869" s="502"/>
      <c r="C2869" s="22"/>
      <c r="D2869" s="502"/>
    </row>
    <row r="2870" spans="1:4" x14ac:dyDescent="0.2">
      <c r="A2870" s="502"/>
      <c r="B2870" s="502"/>
      <c r="C2870" s="22"/>
      <c r="D2870" s="502"/>
    </row>
    <row r="2871" spans="1:4" x14ac:dyDescent="0.2">
      <c r="A2871" s="502"/>
      <c r="B2871" s="502"/>
      <c r="C2871" s="22"/>
      <c r="D2871" s="502"/>
    </row>
    <row r="2872" spans="1:4" x14ac:dyDescent="0.2">
      <c r="A2872" s="502"/>
      <c r="B2872" s="502"/>
      <c r="C2872" s="22"/>
      <c r="D2872" s="502"/>
    </row>
    <row r="2873" spans="1:4" x14ac:dyDescent="0.2">
      <c r="A2873" s="502"/>
      <c r="B2873" s="502"/>
      <c r="C2873" s="22"/>
      <c r="D2873" s="502"/>
    </row>
    <row r="2874" spans="1:4" x14ac:dyDescent="0.2">
      <c r="A2874" s="502"/>
      <c r="B2874" s="502"/>
      <c r="C2874" s="22"/>
      <c r="D2874" s="502"/>
    </row>
    <row r="2875" spans="1:4" x14ac:dyDescent="0.2">
      <c r="A2875" s="502"/>
      <c r="B2875" s="502"/>
      <c r="C2875" s="22"/>
      <c r="D2875" s="502"/>
    </row>
    <row r="2876" spans="1:4" x14ac:dyDescent="0.2">
      <c r="A2876" s="502"/>
      <c r="B2876" s="502"/>
      <c r="C2876" s="22"/>
      <c r="D2876" s="502"/>
    </row>
    <row r="2877" spans="1:4" x14ac:dyDescent="0.2">
      <c r="A2877" s="502"/>
      <c r="B2877" s="502"/>
      <c r="C2877" s="22"/>
      <c r="D2877" s="502"/>
    </row>
    <row r="2878" spans="1:4" x14ac:dyDescent="0.2">
      <c r="A2878" s="502"/>
      <c r="B2878" s="502"/>
      <c r="C2878" s="22"/>
      <c r="D2878" s="502"/>
    </row>
    <row r="2879" spans="1:4" x14ac:dyDescent="0.2">
      <c r="A2879" s="502"/>
      <c r="B2879" s="502"/>
      <c r="C2879" s="22"/>
      <c r="D2879" s="502"/>
    </row>
    <row r="2880" spans="1:4" x14ac:dyDescent="0.2">
      <c r="A2880" s="502"/>
      <c r="B2880" s="502"/>
      <c r="C2880" s="22"/>
      <c r="D2880" s="502"/>
    </row>
    <row r="2881" spans="1:4" x14ac:dyDescent="0.2">
      <c r="A2881" s="502"/>
      <c r="B2881" s="502"/>
      <c r="C2881" s="22"/>
      <c r="D2881" s="502"/>
    </row>
    <row r="2882" spans="1:4" x14ac:dyDescent="0.2">
      <c r="A2882" s="502"/>
      <c r="B2882" s="502"/>
      <c r="C2882" s="22"/>
      <c r="D2882" s="502"/>
    </row>
    <row r="2883" spans="1:4" x14ac:dyDescent="0.2">
      <c r="A2883" s="502"/>
      <c r="B2883" s="502"/>
      <c r="C2883" s="22"/>
      <c r="D2883" s="502"/>
    </row>
    <row r="2884" spans="1:4" x14ac:dyDescent="0.2">
      <c r="A2884" s="502"/>
      <c r="B2884" s="502"/>
      <c r="C2884" s="22"/>
      <c r="D2884" s="502"/>
    </row>
    <row r="2885" spans="1:4" x14ac:dyDescent="0.2">
      <c r="A2885" s="502"/>
      <c r="B2885" s="502"/>
      <c r="C2885" s="22"/>
      <c r="D2885" s="502"/>
    </row>
    <row r="2886" spans="1:4" x14ac:dyDescent="0.2">
      <c r="A2886" s="502"/>
      <c r="B2886" s="502"/>
      <c r="C2886" s="22"/>
      <c r="D2886" s="502"/>
    </row>
    <row r="2887" spans="1:4" x14ac:dyDescent="0.2">
      <c r="A2887" s="502"/>
      <c r="B2887" s="502"/>
      <c r="C2887" s="22"/>
      <c r="D2887" s="502"/>
    </row>
    <row r="2888" spans="1:4" x14ac:dyDescent="0.2">
      <c r="A2888" s="502"/>
      <c r="B2888" s="502"/>
      <c r="C2888" s="22"/>
      <c r="D2888" s="502"/>
    </row>
    <row r="2889" spans="1:4" x14ac:dyDescent="0.2">
      <c r="A2889" s="502"/>
      <c r="B2889" s="502"/>
      <c r="C2889" s="22"/>
      <c r="D2889" s="502"/>
    </row>
    <row r="2890" spans="1:4" x14ac:dyDescent="0.2">
      <c r="A2890" s="502"/>
      <c r="B2890" s="502"/>
      <c r="C2890" s="22"/>
      <c r="D2890" s="502"/>
    </row>
    <row r="2891" spans="1:4" x14ac:dyDescent="0.2">
      <c r="A2891" s="502"/>
      <c r="B2891" s="502"/>
      <c r="C2891" s="22"/>
      <c r="D2891" s="502"/>
    </row>
    <row r="2892" spans="1:4" x14ac:dyDescent="0.2">
      <c r="A2892" s="502"/>
      <c r="B2892" s="502"/>
      <c r="C2892" s="22"/>
      <c r="D2892" s="502"/>
    </row>
    <row r="2893" spans="1:4" x14ac:dyDescent="0.2">
      <c r="A2893" s="502"/>
      <c r="B2893" s="502"/>
      <c r="C2893" s="22"/>
      <c r="D2893" s="502"/>
    </row>
    <row r="2894" spans="1:4" x14ac:dyDescent="0.2">
      <c r="A2894" s="502"/>
      <c r="B2894" s="502"/>
      <c r="C2894" s="22"/>
      <c r="D2894" s="502"/>
    </row>
    <row r="2895" spans="1:4" x14ac:dyDescent="0.2">
      <c r="A2895" s="502"/>
      <c r="B2895" s="502"/>
      <c r="C2895" s="22"/>
      <c r="D2895" s="502"/>
    </row>
    <row r="2896" spans="1:4" x14ac:dyDescent="0.2">
      <c r="A2896" s="502"/>
      <c r="B2896" s="502"/>
      <c r="C2896" s="22"/>
      <c r="D2896" s="502"/>
    </row>
    <row r="2897" spans="1:4" x14ac:dyDescent="0.2">
      <c r="A2897" s="502"/>
      <c r="B2897" s="502"/>
      <c r="C2897" s="22"/>
      <c r="D2897" s="502"/>
    </row>
    <row r="2898" spans="1:4" x14ac:dyDescent="0.2">
      <c r="A2898" s="502"/>
      <c r="B2898" s="502"/>
      <c r="C2898" s="22"/>
      <c r="D2898" s="502"/>
    </row>
    <row r="2899" spans="1:4" x14ac:dyDescent="0.2">
      <c r="A2899" s="502"/>
      <c r="B2899" s="502"/>
      <c r="C2899" s="22"/>
      <c r="D2899" s="502"/>
    </row>
    <row r="2900" spans="1:4" x14ac:dyDescent="0.2">
      <c r="A2900" s="502"/>
      <c r="B2900" s="502"/>
      <c r="C2900" s="22"/>
      <c r="D2900" s="502"/>
    </row>
    <row r="2901" spans="1:4" x14ac:dyDescent="0.2">
      <c r="A2901" s="502"/>
      <c r="B2901" s="502"/>
      <c r="C2901" s="22"/>
      <c r="D2901" s="502"/>
    </row>
    <row r="2902" spans="1:4" x14ac:dyDescent="0.2">
      <c r="A2902" s="502"/>
      <c r="B2902" s="502"/>
      <c r="C2902" s="22"/>
      <c r="D2902" s="502"/>
    </row>
    <row r="2903" spans="1:4" x14ac:dyDescent="0.2">
      <c r="A2903" s="502"/>
      <c r="B2903" s="502"/>
      <c r="C2903" s="22"/>
      <c r="D2903" s="502"/>
    </row>
    <row r="2904" spans="1:4" x14ac:dyDescent="0.2">
      <c r="A2904" s="502"/>
      <c r="B2904" s="502"/>
      <c r="C2904" s="22"/>
      <c r="D2904" s="502"/>
    </row>
    <row r="2905" spans="1:4" x14ac:dyDescent="0.2">
      <c r="A2905" s="502"/>
      <c r="B2905" s="502"/>
      <c r="C2905" s="22"/>
      <c r="D2905" s="502"/>
    </row>
    <row r="2906" spans="1:4" x14ac:dyDescent="0.2">
      <c r="A2906" s="502"/>
      <c r="B2906" s="502"/>
      <c r="C2906" s="22"/>
      <c r="D2906" s="502"/>
    </row>
    <row r="2907" spans="1:4" x14ac:dyDescent="0.2">
      <c r="A2907" s="502"/>
      <c r="B2907" s="502"/>
      <c r="C2907" s="22"/>
      <c r="D2907" s="502"/>
    </row>
    <row r="2908" spans="1:4" x14ac:dyDescent="0.2">
      <c r="A2908" s="502"/>
      <c r="B2908" s="502"/>
      <c r="C2908" s="22"/>
      <c r="D2908" s="502"/>
    </row>
    <row r="2909" spans="1:4" x14ac:dyDescent="0.2">
      <c r="A2909" s="502"/>
      <c r="B2909" s="502"/>
      <c r="C2909" s="22"/>
      <c r="D2909" s="502"/>
    </row>
    <row r="2910" spans="1:4" x14ac:dyDescent="0.2">
      <c r="A2910" s="502"/>
      <c r="B2910" s="502"/>
      <c r="C2910" s="22"/>
      <c r="D2910" s="502"/>
    </row>
    <row r="2911" spans="1:4" x14ac:dyDescent="0.2">
      <c r="A2911" s="502"/>
      <c r="B2911" s="502"/>
      <c r="C2911" s="22"/>
      <c r="D2911" s="502"/>
    </row>
    <row r="2912" spans="1:4" x14ac:dyDescent="0.2">
      <c r="A2912" s="502"/>
      <c r="B2912" s="502"/>
      <c r="C2912" s="22"/>
      <c r="D2912" s="502"/>
    </row>
    <row r="2913" spans="1:4" x14ac:dyDescent="0.2">
      <c r="A2913" s="502"/>
      <c r="B2913" s="502"/>
      <c r="C2913" s="22"/>
      <c r="D2913" s="502"/>
    </row>
    <row r="2914" spans="1:4" x14ac:dyDescent="0.2">
      <c r="A2914" s="502"/>
      <c r="B2914" s="502"/>
      <c r="C2914" s="22"/>
      <c r="D2914" s="502"/>
    </row>
    <row r="2915" spans="1:4" x14ac:dyDescent="0.2">
      <c r="A2915" s="502"/>
      <c r="B2915" s="502"/>
      <c r="C2915" s="22"/>
      <c r="D2915" s="502"/>
    </row>
    <row r="2916" spans="1:4" x14ac:dyDescent="0.2">
      <c r="A2916" s="502"/>
      <c r="B2916" s="502"/>
      <c r="C2916" s="22"/>
      <c r="D2916" s="502"/>
    </row>
    <row r="2917" spans="1:4" x14ac:dyDescent="0.2">
      <c r="A2917" s="502"/>
      <c r="B2917" s="502"/>
      <c r="C2917" s="22"/>
      <c r="D2917" s="502"/>
    </row>
    <row r="2918" spans="1:4" x14ac:dyDescent="0.2">
      <c r="A2918" s="502"/>
      <c r="B2918" s="502"/>
      <c r="C2918" s="22"/>
      <c r="D2918" s="502"/>
    </row>
    <row r="2919" spans="1:4" x14ac:dyDescent="0.2">
      <c r="A2919" s="502"/>
      <c r="B2919" s="502"/>
      <c r="C2919" s="22"/>
      <c r="D2919" s="502"/>
    </row>
    <row r="2920" spans="1:4" x14ac:dyDescent="0.2">
      <c r="A2920" s="502"/>
      <c r="B2920" s="502"/>
      <c r="C2920" s="22"/>
      <c r="D2920" s="502"/>
    </row>
    <row r="2921" spans="1:4" x14ac:dyDescent="0.2">
      <c r="A2921" s="502"/>
      <c r="B2921" s="502"/>
      <c r="C2921" s="22"/>
      <c r="D2921" s="502"/>
    </row>
    <row r="2922" spans="1:4" x14ac:dyDescent="0.2">
      <c r="A2922" s="502"/>
      <c r="B2922" s="502"/>
      <c r="C2922" s="22"/>
      <c r="D2922" s="502"/>
    </row>
    <row r="2923" spans="1:4" x14ac:dyDescent="0.2">
      <c r="A2923" s="502"/>
      <c r="B2923" s="502"/>
      <c r="C2923" s="22"/>
      <c r="D2923" s="502"/>
    </row>
    <row r="2924" spans="1:4" x14ac:dyDescent="0.2">
      <c r="A2924" s="502"/>
      <c r="B2924" s="502"/>
      <c r="C2924" s="22"/>
      <c r="D2924" s="502"/>
    </row>
    <row r="2925" spans="1:4" x14ac:dyDescent="0.2">
      <c r="A2925" s="502"/>
      <c r="B2925" s="502"/>
      <c r="C2925" s="22"/>
      <c r="D2925" s="502"/>
    </row>
    <row r="2926" spans="1:4" x14ac:dyDescent="0.2">
      <c r="A2926" s="502"/>
      <c r="B2926" s="502"/>
      <c r="C2926" s="22"/>
      <c r="D2926" s="502"/>
    </row>
    <row r="2927" spans="1:4" x14ac:dyDescent="0.2">
      <c r="A2927" s="502"/>
      <c r="B2927" s="502"/>
      <c r="C2927" s="22"/>
      <c r="D2927" s="502"/>
    </row>
    <row r="2928" spans="1:4" x14ac:dyDescent="0.2">
      <c r="A2928" s="502"/>
      <c r="B2928" s="502"/>
      <c r="C2928" s="22"/>
      <c r="D2928" s="502"/>
    </row>
    <row r="2929" spans="1:4" x14ac:dyDescent="0.2">
      <c r="A2929" s="502"/>
      <c r="B2929" s="502"/>
      <c r="C2929" s="22"/>
      <c r="D2929" s="502"/>
    </row>
    <row r="2930" spans="1:4" x14ac:dyDescent="0.2">
      <c r="A2930" s="502"/>
      <c r="B2930" s="502"/>
      <c r="C2930" s="22"/>
      <c r="D2930" s="502"/>
    </row>
    <row r="2931" spans="1:4" x14ac:dyDescent="0.2">
      <c r="A2931" s="502"/>
      <c r="B2931" s="502"/>
      <c r="C2931" s="22"/>
      <c r="D2931" s="502"/>
    </row>
    <row r="2932" spans="1:4" x14ac:dyDescent="0.2">
      <c r="A2932" s="502"/>
      <c r="B2932" s="502"/>
      <c r="C2932" s="22"/>
      <c r="D2932" s="502"/>
    </row>
    <row r="2933" spans="1:4" x14ac:dyDescent="0.2">
      <c r="A2933" s="502"/>
      <c r="B2933" s="502"/>
      <c r="C2933" s="22"/>
      <c r="D2933" s="502"/>
    </row>
    <row r="2934" spans="1:4" x14ac:dyDescent="0.2">
      <c r="A2934" s="502"/>
      <c r="B2934" s="502"/>
      <c r="C2934" s="22"/>
      <c r="D2934" s="502"/>
    </row>
    <row r="2935" spans="1:4" x14ac:dyDescent="0.2">
      <c r="A2935" s="502"/>
      <c r="B2935" s="502"/>
      <c r="C2935" s="22"/>
      <c r="D2935" s="502"/>
    </row>
    <row r="2936" spans="1:4" x14ac:dyDescent="0.2">
      <c r="A2936" s="502"/>
      <c r="B2936" s="502"/>
      <c r="C2936" s="22"/>
      <c r="D2936" s="502"/>
    </row>
    <row r="2937" spans="1:4" x14ac:dyDescent="0.2">
      <c r="A2937" s="502"/>
      <c r="B2937" s="502"/>
      <c r="C2937" s="22"/>
      <c r="D2937" s="502"/>
    </row>
    <row r="2938" spans="1:4" x14ac:dyDescent="0.2">
      <c r="A2938" s="502"/>
      <c r="B2938" s="502"/>
      <c r="C2938" s="22"/>
      <c r="D2938" s="502"/>
    </row>
    <row r="2939" spans="1:4" x14ac:dyDescent="0.2">
      <c r="A2939" s="502"/>
      <c r="B2939" s="502"/>
      <c r="C2939" s="22"/>
      <c r="D2939" s="502"/>
    </row>
    <row r="2940" spans="1:4" x14ac:dyDescent="0.2">
      <c r="A2940" s="502"/>
      <c r="B2940" s="502"/>
      <c r="C2940" s="22"/>
      <c r="D2940" s="502"/>
    </row>
    <row r="2941" spans="1:4" x14ac:dyDescent="0.2">
      <c r="A2941" s="502"/>
      <c r="B2941" s="502"/>
      <c r="C2941" s="22"/>
      <c r="D2941" s="502"/>
    </row>
    <row r="2942" spans="1:4" x14ac:dyDescent="0.2">
      <c r="A2942" s="502"/>
      <c r="B2942" s="502"/>
      <c r="C2942" s="22"/>
      <c r="D2942" s="502"/>
    </row>
    <row r="2943" spans="1:4" x14ac:dyDescent="0.2">
      <c r="A2943" s="502"/>
      <c r="B2943" s="502"/>
      <c r="C2943" s="22"/>
      <c r="D2943" s="502"/>
    </row>
    <row r="2944" spans="1:4" x14ac:dyDescent="0.2">
      <c r="A2944" s="502"/>
      <c r="B2944" s="502"/>
      <c r="C2944" s="22"/>
      <c r="D2944" s="502"/>
    </row>
    <row r="2945" spans="1:4" x14ac:dyDescent="0.2">
      <c r="A2945" s="502"/>
      <c r="B2945" s="502"/>
      <c r="C2945" s="22"/>
      <c r="D2945" s="502"/>
    </row>
    <row r="2946" spans="1:4" x14ac:dyDescent="0.2">
      <c r="A2946" s="502"/>
      <c r="B2946" s="502"/>
      <c r="C2946" s="22"/>
      <c r="D2946" s="502"/>
    </row>
    <row r="2947" spans="1:4" x14ac:dyDescent="0.2">
      <c r="A2947" s="502"/>
      <c r="B2947" s="502"/>
      <c r="C2947" s="22"/>
      <c r="D2947" s="502"/>
    </row>
    <row r="2948" spans="1:4" x14ac:dyDescent="0.2">
      <c r="A2948" s="502"/>
      <c r="B2948" s="502"/>
      <c r="C2948" s="22"/>
      <c r="D2948" s="502"/>
    </row>
    <row r="2949" spans="1:4" x14ac:dyDescent="0.2">
      <c r="A2949" s="502"/>
      <c r="B2949" s="502"/>
      <c r="C2949" s="22"/>
      <c r="D2949" s="502"/>
    </row>
    <row r="2950" spans="1:4" x14ac:dyDescent="0.2">
      <c r="A2950" s="502"/>
      <c r="B2950" s="502"/>
      <c r="C2950" s="22"/>
      <c r="D2950" s="502"/>
    </row>
    <row r="2951" spans="1:4" x14ac:dyDescent="0.2">
      <c r="A2951" s="502"/>
      <c r="B2951" s="502"/>
      <c r="C2951" s="22"/>
      <c r="D2951" s="502"/>
    </row>
    <row r="2952" spans="1:4" x14ac:dyDescent="0.2">
      <c r="A2952" s="502"/>
      <c r="B2952" s="502"/>
      <c r="C2952" s="22"/>
      <c r="D2952" s="502"/>
    </row>
    <row r="2953" spans="1:4" x14ac:dyDescent="0.2">
      <c r="A2953" s="502"/>
      <c r="B2953" s="502"/>
      <c r="C2953" s="22"/>
      <c r="D2953" s="502"/>
    </row>
    <row r="2954" spans="1:4" x14ac:dyDescent="0.2">
      <c r="A2954" s="502"/>
      <c r="B2954" s="502"/>
      <c r="C2954" s="22"/>
      <c r="D2954" s="502"/>
    </row>
    <row r="2955" spans="1:4" x14ac:dyDescent="0.2">
      <c r="A2955" s="502"/>
      <c r="B2955" s="502"/>
      <c r="C2955" s="22"/>
      <c r="D2955" s="502"/>
    </row>
    <row r="2956" spans="1:4" x14ac:dyDescent="0.2">
      <c r="A2956" s="502"/>
      <c r="B2956" s="502"/>
      <c r="C2956" s="22"/>
      <c r="D2956" s="502"/>
    </row>
    <row r="2957" spans="1:4" x14ac:dyDescent="0.2">
      <c r="A2957" s="502"/>
      <c r="B2957" s="502"/>
      <c r="C2957" s="22"/>
      <c r="D2957" s="502"/>
    </row>
    <row r="2958" spans="1:4" x14ac:dyDescent="0.2">
      <c r="A2958" s="502"/>
      <c r="B2958" s="502"/>
      <c r="C2958" s="22"/>
      <c r="D2958" s="502"/>
    </row>
    <row r="2959" spans="1:4" x14ac:dyDescent="0.2">
      <c r="A2959" s="502"/>
      <c r="B2959" s="502"/>
      <c r="C2959" s="22"/>
      <c r="D2959" s="502"/>
    </row>
    <row r="2960" spans="1:4" x14ac:dyDescent="0.2">
      <c r="A2960" s="502"/>
      <c r="B2960" s="502"/>
      <c r="C2960" s="22"/>
      <c r="D2960" s="502"/>
    </row>
    <row r="2961" spans="1:4" x14ac:dyDescent="0.2">
      <c r="A2961" s="502"/>
      <c r="B2961" s="502"/>
      <c r="C2961" s="22"/>
      <c r="D2961" s="502"/>
    </row>
    <row r="2962" spans="1:4" x14ac:dyDescent="0.2">
      <c r="A2962" s="502"/>
      <c r="B2962" s="502"/>
      <c r="C2962" s="22"/>
      <c r="D2962" s="502"/>
    </row>
    <row r="2963" spans="1:4" x14ac:dyDescent="0.2">
      <c r="A2963" s="502"/>
      <c r="B2963" s="502"/>
      <c r="C2963" s="22"/>
      <c r="D2963" s="502"/>
    </row>
    <row r="2964" spans="1:4" x14ac:dyDescent="0.2">
      <c r="A2964" s="502"/>
      <c r="B2964" s="502"/>
      <c r="C2964" s="22"/>
      <c r="D2964" s="502"/>
    </row>
    <row r="2965" spans="1:4" x14ac:dyDescent="0.2">
      <c r="A2965" s="502"/>
      <c r="B2965" s="502"/>
      <c r="C2965" s="22"/>
      <c r="D2965" s="502"/>
    </row>
    <row r="2966" spans="1:4" x14ac:dyDescent="0.2">
      <c r="A2966" s="502"/>
      <c r="B2966" s="502"/>
      <c r="C2966" s="22"/>
      <c r="D2966" s="502"/>
    </row>
    <row r="2967" spans="1:4" x14ac:dyDescent="0.2">
      <c r="A2967" s="502"/>
      <c r="B2967" s="502"/>
      <c r="C2967" s="22"/>
      <c r="D2967" s="502"/>
    </row>
    <row r="2968" spans="1:4" x14ac:dyDescent="0.2">
      <c r="A2968" s="502"/>
      <c r="B2968" s="502"/>
      <c r="C2968" s="22"/>
      <c r="D2968" s="502"/>
    </row>
    <row r="2969" spans="1:4" x14ac:dyDescent="0.2">
      <c r="A2969" s="502"/>
      <c r="B2969" s="502"/>
      <c r="C2969" s="22"/>
      <c r="D2969" s="502"/>
    </row>
    <row r="2970" spans="1:4" x14ac:dyDescent="0.2">
      <c r="A2970" s="502"/>
      <c r="B2970" s="502"/>
      <c r="C2970" s="22"/>
      <c r="D2970" s="502"/>
    </row>
    <row r="2971" spans="1:4" x14ac:dyDescent="0.2">
      <c r="A2971" s="502"/>
      <c r="B2971" s="502"/>
      <c r="C2971" s="22"/>
      <c r="D2971" s="502"/>
    </row>
    <row r="2972" spans="1:4" x14ac:dyDescent="0.2">
      <c r="A2972" s="502"/>
      <c r="B2972" s="502"/>
      <c r="C2972" s="22"/>
      <c r="D2972" s="502"/>
    </row>
    <row r="2973" spans="1:4" x14ac:dyDescent="0.2">
      <c r="A2973" s="502"/>
      <c r="B2973" s="502"/>
      <c r="C2973" s="22"/>
      <c r="D2973" s="502"/>
    </row>
    <row r="2974" spans="1:4" x14ac:dyDescent="0.2">
      <c r="A2974" s="502"/>
      <c r="B2974" s="502"/>
      <c r="C2974" s="22"/>
      <c r="D2974" s="502"/>
    </row>
    <row r="2975" spans="1:4" x14ac:dyDescent="0.2">
      <c r="A2975" s="502"/>
      <c r="B2975" s="502"/>
      <c r="C2975" s="22"/>
      <c r="D2975" s="502"/>
    </row>
    <row r="2976" spans="1:4" x14ac:dyDescent="0.2">
      <c r="A2976" s="502"/>
      <c r="B2976" s="502"/>
      <c r="C2976" s="22"/>
      <c r="D2976" s="502"/>
    </row>
    <row r="2977" spans="1:4" x14ac:dyDescent="0.2">
      <c r="A2977" s="502"/>
      <c r="B2977" s="502"/>
      <c r="C2977" s="22"/>
      <c r="D2977" s="502"/>
    </row>
    <row r="2978" spans="1:4" x14ac:dyDescent="0.2">
      <c r="A2978" s="502"/>
      <c r="B2978" s="502"/>
      <c r="C2978" s="22"/>
      <c r="D2978" s="502"/>
    </row>
    <row r="2979" spans="1:4" x14ac:dyDescent="0.2">
      <c r="A2979" s="502"/>
      <c r="B2979" s="502"/>
      <c r="C2979" s="22"/>
      <c r="D2979" s="502"/>
    </row>
    <row r="2980" spans="1:4" x14ac:dyDescent="0.2">
      <c r="A2980" s="502"/>
      <c r="B2980" s="502"/>
      <c r="C2980" s="22"/>
      <c r="D2980" s="502"/>
    </row>
    <row r="2981" spans="1:4" x14ac:dyDescent="0.2">
      <c r="A2981" s="502"/>
      <c r="B2981" s="502"/>
      <c r="C2981" s="22"/>
      <c r="D2981" s="502"/>
    </row>
    <row r="2982" spans="1:4" x14ac:dyDescent="0.2">
      <c r="A2982" s="502"/>
      <c r="B2982" s="502"/>
      <c r="C2982" s="22"/>
      <c r="D2982" s="502"/>
    </row>
    <row r="2983" spans="1:4" x14ac:dyDescent="0.2">
      <c r="A2983" s="502"/>
      <c r="B2983" s="502"/>
      <c r="C2983" s="22"/>
      <c r="D2983" s="502"/>
    </row>
    <row r="2984" spans="1:4" x14ac:dyDescent="0.2">
      <c r="A2984" s="502"/>
      <c r="B2984" s="502"/>
      <c r="C2984" s="22"/>
      <c r="D2984" s="502"/>
    </row>
    <row r="2985" spans="1:4" x14ac:dyDescent="0.2">
      <c r="A2985" s="502"/>
      <c r="B2985" s="502"/>
      <c r="C2985" s="22"/>
      <c r="D2985" s="502"/>
    </row>
    <row r="2986" spans="1:4" x14ac:dyDescent="0.2">
      <c r="A2986" s="502"/>
      <c r="B2986" s="502"/>
      <c r="C2986" s="22"/>
      <c r="D2986" s="502"/>
    </row>
    <row r="2987" spans="1:4" x14ac:dyDescent="0.2">
      <c r="A2987" s="502"/>
      <c r="B2987" s="502"/>
      <c r="C2987" s="22"/>
      <c r="D2987" s="502"/>
    </row>
    <row r="2988" spans="1:4" x14ac:dyDescent="0.2">
      <c r="A2988" s="502"/>
      <c r="B2988" s="502"/>
      <c r="C2988" s="22"/>
      <c r="D2988" s="502"/>
    </row>
    <row r="2989" spans="1:4" x14ac:dyDescent="0.2">
      <c r="A2989" s="502"/>
      <c r="B2989" s="502"/>
      <c r="C2989" s="22"/>
      <c r="D2989" s="502"/>
    </row>
    <row r="2990" spans="1:4" x14ac:dyDescent="0.2">
      <c r="A2990" s="502"/>
      <c r="B2990" s="502"/>
      <c r="C2990" s="22"/>
      <c r="D2990" s="502"/>
    </row>
    <row r="2991" spans="1:4" x14ac:dyDescent="0.2">
      <c r="A2991" s="502"/>
      <c r="B2991" s="502"/>
      <c r="C2991" s="22"/>
      <c r="D2991" s="502"/>
    </row>
    <row r="2992" spans="1:4" x14ac:dyDescent="0.2">
      <c r="A2992" s="502"/>
      <c r="B2992" s="502"/>
      <c r="C2992" s="22"/>
      <c r="D2992" s="502"/>
    </row>
    <row r="2993" spans="1:4" x14ac:dyDescent="0.2">
      <c r="A2993" s="502"/>
      <c r="B2993" s="502"/>
      <c r="C2993" s="22"/>
      <c r="D2993" s="502"/>
    </row>
    <row r="2994" spans="1:4" x14ac:dyDescent="0.2">
      <c r="A2994" s="502"/>
      <c r="B2994" s="502"/>
      <c r="C2994" s="22"/>
      <c r="D2994" s="502"/>
    </row>
    <row r="2995" spans="1:4" x14ac:dyDescent="0.2">
      <c r="A2995" s="502"/>
      <c r="B2995" s="502"/>
      <c r="C2995" s="22"/>
      <c r="D2995" s="502"/>
    </row>
    <row r="2996" spans="1:4" x14ac:dyDescent="0.2">
      <c r="A2996" s="502"/>
      <c r="B2996" s="502"/>
      <c r="C2996" s="22"/>
      <c r="D2996" s="502"/>
    </row>
    <row r="2997" spans="1:4" x14ac:dyDescent="0.2">
      <c r="A2997" s="502"/>
      <c r="B2997" s="502"/>
      <c r="C2997" s="22"/>
      <c r="D2997" s="502"/>
    </row>
    <row r="2998" spans="1:4" x14ac:dyDescent="0.2">
      <c r="A2998" s="502"/>
      <c r="B2998" s="502"/>
      <c r="C2998" s="22"/>
      <c r="D2998" s="502"/>
    </row>
    <row r="2999" spans="1:4" x14ac:dyDescent="0.2">
      <c r="A2999" s="502"/>
      <c r="B2999" s="502"/>
      <c r="C2999" s="22"/>
      <c r="D2999" s="502"/>
    </row>
    <row r="3000" spans="1:4" x14ac:dyDescent="0.2">
      <c r="A3000" s="502"/>
      <c r="B3000" s="502"/>
      <c r="C3000" s="22"/>
      <c r="D3000" s="502"/>
    </row>
    <row r="3001" spans="1:4" x14ac:dyDescent="0.2">
      <c r="A3001" s="502"/>
      <c r="B3001" s="502"/>
      <c r="C3001" s="22"/>
      <c r="D3001" s="502"/>
    </row>
    <row r="3002" spans="1:4" x14ac:dyDescent="0.2">
      <c r="A3002" s="502"/>
      <c r="B3002" s="502"/>
      <c r="C3002" s="22"/>
      <c r="D3002" s="502"/>
    </row>
    <row r="3003" spans="1:4" x14ac:dyDescent="0.2">
      <c r="A3003" s="502"/>
      <c r="B3003" s="502"/>
      <c r="C3003" s="22"/>
      <c r="D3003" s="502"/>
    </row>
    <row r="3004" spans="1:4" x14ac:dyDescent="0.2">
      <c r="A3004" s="502"/>
      <c r="B3004" s="502"/>
      <c r="C3004" s="22"/>
      <c r="D3004" s="502"/>
    </row>
    <row r="3005" spans="1:4" x14ac:dyDescent="0.2">
      <c r="A3005" s="502"/>
      <c r="B3005" s="502"/>
      <c r="C3005" s="22"/>
      <c r="D3005" s="502"/>
    </row>
    <row r="3006" spans="1:4" x14ac:dyDescent="0.2">
      <c r="A3006" s="502"/>
      <c r="B3006" s="502"/>
      <c r="C3006" s="22"/>
      <c r="D3006" s="502"/>
    </row>
    <row r="3007" spans="1:4" x14ac:dyDescent="0.2">
      <c r="A3007" s="502"/>
      <c r="B3007" s="502"/>
      <c r="C3007" s="22"/>
      <c r="D3007" s="502"/>
    </row>
    <row r="3008" spans="1:4" x14ac:dyDescent="0.2">
      <c r="A3008" s="502"/>
      <c r="B3008" s="502"/>
      <c r="C3008" s="22"/>
      <c r="D3008" s="502"/>
    </row>
    <row r="3009" spans="1:4" x14ac:dyDescent="0.2">
      <c r="A3009" s="502"/>
      <c r="B3009" s="502"/>
      <c r="C3009" s="22"/>
      <c r="D3009" s="502"/>
    </row>
    <row r="3010" spans="1:4" x14ac:dyDescent="0.2">
      <c r="A3010" s="502"/>
      <c r="B3010" s="502"/>
      <c r="C3010" s="22"/>
      <c r="D3010" s="502"/>
    </row>
    <row r="3011" spans="1:4" x14ac:dyDescent="0.2">
      <c r="A3011" s="502"/>
      <c r="B3011" s="502"/>
      <c r="C3011" s="22"/>
      <c r="D3011" s="502"/>
    </row>
    <row r="3012" spans="1:4" x14ac:dyDescent="0.2">
      <c r="A3012" s="502"/>
      <c r="B3012" s="502"/>
      <c r="C3012" s="22"/>
      <c r="D3012" s="502"/>
    </row>
    <row r="3013" spans="1:4" x14ac:dyDescent="0.2">
      <c r="A3013" s="502"/>
      <c r="B3013" s="502"/>
      <c r="C3013" s="22"/>
      <c r="D3013" s="502"/>
    </row>
    <row r="3014" spans="1:4" x14ac:dyDescent="0.2">
      <c r="A3014" s="502"/>
      <c r="B3014" s="502"/>
      <c r="C3014" s="22"/>
      <c r="D3014" s="502"/>
    </row>
    <row r="3015" spans="1:4" x14ac:dyDescent="0.2">
      <c r="A3015" s="502"/>
      <c r="B3015" s="502"/>
      <c r="C3015" s="22"/>
      <c r="D3015" s="502"/>
    </row>
    <row r="3016" spans="1:4" x14ac:dyDescent="0.2">
      <c r="A3016" s="502"/>
      <c r="B3016" s="502"/>
      <c r="C3016" s="22"/>
      <c r="D3016" s="502"/>
    </row>
    <row r="3017" spans="1:4" x14ac:dyDescent="0.2">
      <c r="A3017" s="502"/>
      <c r="B3017" s="502"/>
      <c r="C3017" s="22"/>
      <c r="D3017" s="502"/>
    </row>
    <row r="3018" spans="1:4" x14ac:dyDescent="0.2">
      <c r="A3018" s="502"/>
      <c r="B3018" s="502"/>
      <c r="C3018" s="22"/>
      <c r="D3018" s="502"/>
    </row>
    <row r="3019" spans="1:4" x14ac:dyDescent="0.2">
      <c r="A3019" s="502"/>
      <c r="B3019" s="502"/>
      <c r="C3019" s="22"/>
      <c r="D3019" s="502"/>
    </row>
    <row r="3020" spans="1:4" x14ac:dyDescent="0.2">
      <c r="A3020" s="502"/>
      <c r="B3020" s="502"/>
      <c r="C3020" s="22"/>
      <c r="D3020" s="502"/>
    </row>
    <row r="3021" spans="1:4" x14ac:dyDescent="0.2">
      <c r="A3021" s="502"/>
      <c r="B3021" s="502"/>
      <c r="C3021" s="22"/>
      <c r="D3021" s="502"/>
    </row>
    <row r="3022" spans="1:4" x14ac:dyDescent="0.2">
      <c r="A3022" s="502"/>
      <c r="B3022" s="502"/>
      <c r="C3022" s="22"/>
      <c r="D3022" s="502"/>
    </row>
    <row r="3023" spans="1:4" x14ac:dyDescent="0.2">
      <c r="A3023" s="502"/>
      <c r="B3023" s="502"/>
      <c r="C3023" s="22"/>
      <c r="D3023" s="502"/>
    </row>
    <row r="3024" spans="1:4" x14ac:dyDescent="0.2">
      <c r="A3024" s="502"/>
      <c r="B3024" s="502"/>
      <c r="C3024" s="22"/>
      <c r="D3024" s="502"/>
    </row>
    <row r="3025" spans="1:4" x14ac:dyDescent="0.2">
      <c r="A3025" s="502"/>
      <c r="B3025" s="502"/>
      <c r="C3025" s="22"/>
      <c r="D3025" s="502"/>
    </row>
    <row r="3026" spans="1:4" x14ac:dyDescent="0.2">
      <c r="A3026" s="502"/>
      <c r="B3026" s="502"/>
      <c r="C3026" s="22"/>
      <c r="D3026" s="502"/>
    </row>
    <row r="3027" spans="1:4" x14ac:dyDescent="0.2">
      <c r="A3027" s="502"/>
      <c r="B3027" s="502"/>
      <c r="C3027" s="22"/>
      <c r="D3027" s="502"/>
    </row>
    <row r="3028" spans="1:4" x14ac:dyDescent="0.2">
      <c r="A3028" s="502"/>
      <c r="B3028" s="502"/>
      <c r="C3028" s="22"/>
      <c r="D3028" s="502"/>
    </row>
    <row r="3029" spans="1:4" x14ac:dyDescent="0.2">
      <c r="A3029" s="502"/>
      <c r="B3029" s="502"/>
      <c r="C3029" s="22"/>
      <c r="D3029" s="502"/>
    </row>
    <row r="3030" spans="1:4" x14ac:dyDescent="0.2">
      <c r="A3030" s="502"/>
      <c r="B3030" s="502"/>
      <c r="C3030" s="22"/>
      <c r="D3030" s="502"/>
    </row>
    <row r="3031" spans="1:4" x14ac:dyDescent="0.2">
      <c r="A3031" s="502"/>
      <c r="B3031" s="502"/>
      <c r="C3031" s="22"/>
      <c r="D3031" s="502"/>
    </row>
    <row r="3032" spans="1:4" x14ac:dyDescent="0.2">
      <c r="A3032" s="502"/>
      <c r="B3032" s="502"/>
      <c r="C3032" s="22"/>
      <c r="D3032" s="502"/>
    </row>
    <row r="3033" spans="1:4" x14ac:dyDescent="0.2">
      <c r="A3033" s="502"/>
      <c r="B3033" s="502"/>
      <c r="C3033" s="22"/>
      <c r="D3033" s="502"/>
    </row>
    <row r="3034" spans="1:4" x14ac:dyDescent="0.2">
      <c r="A3034" s="502"/>
      <c r="B3034" s="502"/>
      <c r="C3034" s="22"/>
      <c r="D3034" s="502"/>
    </row>
    <row r="3035" spans="1:4" x14ac:dyDescent="0.2">
      <c r="A3035" s="502"/>
      <c r="B3035" s="502"/>
      <c r="C3035" s="22"/>
      <c r="D3035" s="502"/>
    </row>
    <row r="3036" spans="1:4" x14ac:dyDescent="0.2">
      <c r="A3036" s="502"/>
      <c r="B3036" s="502"/>
      <c r="C3036" s="22"/>
      <c r="D3036" s="502"/>
    </row>
    <row r="3037" spans="1:4" x14ac:dyDescent="0.2">
      <c r="A3037" s="502"/>
      <c r="B3037" s="502"/>
      <c r="C3037" s="22"/>
      <c r="D3037" s="502"/>
    </row>
    <row r="3038" spans="1:4" x14ac:dyDescent="0.2">
      <c r="A3038" s="502"/>
      <c r="B3038" s="502"/>
      <c r="C3038" s="22"/>
      <c r="D3038" s="502"/>
    </row>
    <row r="3039" spans="1:4" x14ac:dyDescent="0.2">
      <c r="A3039" s="502"/>
      <c r="B3039" s="502"/>
      <c r="C3039" s="22"/>
      <c r="D3039" s="502"/>
    </row>
    <row r="3040" spans="1:4" x14ac:dyDescent="0.2">
      <c r="A3040" s="502"/>
      <c r="B3040" s="502"/>
      <c r="C3040" s="22"/>
      <c r="D3040" s="502"/>
    </row>
    <row r="3041" spans="1:4" x14ac:dyDescent="0.2">
      <c r="A3041" s="502"/>
      <c r="B3041" s="502"/>
      <c r="C3041" s="22"/>
      <c r="D3041" s="502"/>
    </row>
    <row r="3042" spans="1:4" x14ac:dyDescent="0.2">
      <c r="A3042" s="502"/>
      <c r="B3042" s="502"/>
      <c r="C3042" s="22"/>
      <c r="D3042" s="502"/>
    </row>
    <row r="3043" spans="1:4" x14ac:dyDescent="0.2">
      <c r="A3043" s="502"/>
      <c r="B3043" s="502"/>
      <c r="C3043" s="22"/>
      <c r="D3043" s="502"/>
    </row>
    <row r="3044" spans="1:4" x14ac:dyDescent="0.2">
      <c r="A3044" s="502"/>
      <c r="B3044" s="502"/>
      <c r="C3044" s="22"/>
      <c r="D3044" s="502"/>
    </row>
    <row r="3045" spans="1:4" x14ac:dyDescent="0.2">
      <c r="A3045" s="502"/>
      <c r="B3045" s="502"/>
      <c r="C3045" s="22"/>
      <c r="D3045" s="502"/>
    </row>
    <row r="3046" spans="1:4" x14ac:dyDescent="0.2">
      <c r="A3046" s="502"/>
      <c r="B3046" s="502"/>
      <c r="C3046" s="22"/>
      <c r="D3046" s="502"/>
    </row>
    <row r="3047" spans="1:4" x14ac:dyDescent="0.2">
      <c r="A3047" s="502"/>
      <c r="B3047" s="502"/>
      <c r="C3047" s="22"/>
      <c r="D3047" s="502"/>
    </row>
    <row r="3048" spans="1:4" x14ac:dyDescent="0.2">
      <c r="A3048" s="502"/>
      <c r="B3048" s="502"/>
      <c r="C3048" s="22"/>
      <c r="D3048" s="502"/>
    </row>
    <row r="3049" spans="1:4" x14ac:dyDescent="0.2">
      <c r="A3049" s="502"/>
      <c r="B3049" s="502"/>
      <c r="C3049" s="22"/>
      <c r="D3049" s="502"/>
    </row>
    <row r="3050" spans="1:4" x14ac:dyDescent="0.2">
      <c r="A3050" s="502"/>
      <c r="B3050" s="502"/>
      <c r="C3050" s="22"/>
      <c r="D3050" s="502"/>
    </row>
    <row r="3051" spans="1:4" x14ac:dyDescent="0.2">
      <c r="A3051" s="502"/>
      <c r="B3051" s="502"/>
      <c r="C3051" s="22"/>
      <c r="D3051" s="502"/>
    </row>
    <row r="3052" spans="1:4" x14ac:dyDescent="0.2">
      <c r="A3052" s="502"/>
      <c r="B3052" s="502"/>
      <c r="C3052" s="22"/>
      <c r="D3052" s="502"/>
    </row>
    <row r="3053" spans="1:4" x14ac:dyDescent="0.2">
      <c r="A3053" s="502"/>
      <c r="B3053" s="502"/>
      <c r="C3053" s="22"/>
      <c r="D3053" s="502"/>
    </row>
    <row r="3054" spans="1:4" x14ac:dyDescent="0.2">
      <c r="A3054" s="502"/>
      <c r="B3054" s="502"/>
      <c r="C3054" s="22"/>
      <c r="D3054" s="502"/>
    </row>
    <row r="3055" spans="1:4" x14ac:dyDescent="0.2">
      <c r="A3055" s="502"/>
      <c r="B3055" s="502"/>
      <c r="C3055" s="22"/>
      <c r="D3055" s="502"/>
    </row>
    <row r="3056" spans="1:4" x14ac:dyDescent="0.2">
      <c r="A3056" s="502"/>
      <c r="B3056" s="502"/>
      <c r="C3056" s="22"/>
      <c r="D3056" s="502"/>
    </row>
    <row r="3057" spans="1:4" x14ac:dyDescent="0.2">
      <c r="A3057" s="502"/>
      <c r="B3057" s="502"/>
      <c r="C3057" s="22"/>
      <c r="D3057" s="502"/>
    </row>
    <row r="3058" spans="1:4" x14ac:dyDescent="0.2">
      <c r="A3058" s="502"/>
      <c r="B3058" s="502"/>
      <c r="C3058" s="22"/>
      <c r="D3058" s="502"/>
    </row>
    <row r="3059" spans="1:4" x14ac:dyDescent="0.2">
      <c r="A3059" s="502"/>
      <c r="B3059" s="502"/>
      <c r="C3059" s="22"/>
      <c r="D3059" s="502"/>
    </row>
    <row r="3060" spans="1:4" x14ac:dyDescent="0.2">
      <c r="A3060" s="502"/>
      <c r="B3060" s="502"/>
      <c r="C3060" s="22"/>
      <c r="D3060" s="502"/>
    </row>
    <row r="3061" spans="1:4" x14ac:dyDescent="0.2">
      <c r="A3061" s="502"/>
      <c r="B3061" s="502"/>
      <c r="C3061" s="22"/>
      <c r="D3061" s="502"/>
    </row>
    <row r="3062" spans="1:4" x14ac:dyDescent="0.2">
      <c r="A3062" s="502"/>
      <c r="B3062" s="502"/>
      <c r="C3062" s="22"/>
      <c r="D3062" s="502"/>
    </row>
    <row r="3063" spans="1:4" x14ac:dyDescent="0.2">
      <c r="A3063" s="502"/>
      <c r="B3063" s="502"/>
      <c r="C3063" s="22"/>
      <c r="D3063" s="502"/>
    </row>
    <row r="3064" spans="1:4" x14ac:dyDescent="0.2">
      <c r="A3064" s="502"/>
      <c r="B3064" s="502"/>
      <c r="C3064" s="22"/>
      <c r="D3064" s="502"/>
    </row>
    <row r="3065" spans="1:4" x14ac:dyDescent="0.2">
      <c r="A3065" s="502"/>
      <c r="B3065" s="502"/>
      <c r="C3065" s="22"/>
      <c r="D3065" s="502"/>
    </row>
    <row r="3066" spans="1:4" x14ac:dyDescent="0.2">
      <c r="A3066" s="502"/>
      <c r="B3066" s="502"/>
      <c r="C3066" s="22"/>
      <c r="D3066" s="502"/>
    </row>
    <row r="3067" spans="1:4" x14ac:dyDescent="0.2">
      <c r="A3067" s="502"/>
      <c r="B3067" s="502"/>
      <c r="C3067" s="22"/>
      <c r="D3067" s="502"/>
    </row>
    <row r="3068" spans="1:4" x14ac:dyDescent="0.2">
      <c r="A3068" s="502"/>
      <c r="B3068" s="502"/>
      <c r="C3068" s="22"/>
      <c r="D3068" s="502"/>
    </row>
    <row r="3069" spans="1:4" x14ac:dyDescent="0.2">
      <c r="A3069" s="502"/>
      <c r="B3069" s="502"/>
      <c r="C3069" s="22"/>
      <c r="D3069" s="502"/>
    </row>
    <row r="3070" spans="1:4" x14ac:dyDescent="0.2">
      <c r="A3070" s="502"/>
      <c r="B3070" s="502"/>
      <c r="C3070" s="22"/>
      <c r="D3070" s="502"/>
    </row>
    <row r="3071" spans="1:4" x14ac:dyDescent="0.2">
      <c r="A3071" s="502"/>
      <c r="B3071" s="502"/>
      <c r="C3071" s="22"/>
      <c r="D3071" s="502"/>
    </row>
    <row r="3072" spans="1:4" x14ac:dyDescent="0.2">
      <c r="A3072" s="502"/>
      <c r="B3072" s="502"/>
      <c r="C3072" s="22"/>
      <c r="D3072" s="502"/>
    </row>
    <row r="3073" spans="1:4" x14ac:dyDescent="0.2">
      <c r="A3073" s="502"/>
      <c r="B3073" s="502"/>
      <c r="C3073" s="22"/>
      <c r="D3073" s="502"/>
    </row>
    <row r="3074" spans="1:4" x14ac:dyDescent="0.2">
      <c r="A3074" s="502"/>
      <c r="B3074" s="502"/>
      <c r="C3074" s="22"/>
      <c r="D3074" s="502"/>
    </row>
    <row r="3075" spans="1:4" x14ac:dyDescent="0.2">
      <c r="A3075" s="502"/>
      <c r="B3075" s="502"/>
      <c r="C3075" s="22"/>
      <c r="D3075" s="502"/>
    </row>
    <row r="3076" spans="1:4" x14ac:dyDescent="0.2">
      <c r="A3076" s="502"/>
      <c r="B3076" s="502"/>
      <c r="C3076" s="22"/>
      <c r="D3076" s="502"/>
    </row>
    <row r="3077" spans="1:4" x14ac:dyDescent="0.2">
      <c r="A3077" s="502"/>
      <c r="B3077" s="502"/>
      <c r="C3077" s="22"/>
      <c r="D3077" s="502"/>
    </row>
    <row r="3078" spans="1:4" x14ac:dyDescent="0.2">
      <c r="A3078" s="502"/>
      <c r="B3078" s="502"/>
      <c r="C3078" s="22"/>
      <c r="D3078" s="502"/>
    </row>
    <row r="3079" spans="1:4" x14ac:dyDescent="0.2">
      <c r="A3079" s="502"/>
      <c r="B3079" s="502"/>
      <c r="C3079" s="22"/>
      <c r="D3079" s="502"/>
    </row>
    <row r="3080" spans="1:4" x14ac:dyDescent="0.2">
      <c r="A3080" s="502"/>
      <c r="B3080" s="502"/>
      <c r="C3080" s="22"/>
      <c r="D3080" s="502"/>
    </row>
    <row r="3081" spans="1:4" x14ac:dyDescent="0.2">
      <c r="A3081" s="502"/>
      <c r="B3081" s="502"/>
      <c r="C3081" s="22"/>
      <c r="D3081" s="502"/>
    </row>
    <row r="3082" spans="1:4" x14ac:dyDescent="0.2">
      <c r="A3082" s="502"/>
      <c r="B3082" s="502"/>
      <c r="C3082" s="22"/>
      <c r="D3082" s="502"/>
    </row>
    <row r="3083" spans="1:4" x14ac:dyDescent="0.2">
      <c r="A3083" s="502"/>
      <c r="B3083" s="502"/>
      <c r="C3083" s="22"/>
      <c r="D3083" s="502"/>
    </row>
    <row r="3084" spans="1:4" x14ac:dyDescent="0.2">
      <c r="A3084" s="502"/>
      <c r="B3084" s="502"/>
      <c r="C3084" s="22"/>
      <c r="D3084" s="502"/>
    </row>
    <row r="3085" spans="1:4" x14ac:dyDescent="0.2">
      <c r="A3085" s="502"/>
      <c r="B3085" s="502"/>
      <c r="C3085" s="22"/>
      <c r="D3085" s="502"/>
    </row>
    <row r="3086" spans="1:4" x14ac:dyDescent="0.2">
      <c r="A3086" s="502"/>
      <c r="B3086" s="502"/>
      <c r="C3086" s="22"/>
      <c r="D3086" s="502"/>
    </row>
    <row r="3087" spans="1:4" x14ac:dyDescent="0.2">
      <c r="A3087" s="502"/>
      <c r="B3087" s="502"/>
      <c r="C3087" s="22"/>
      <c r="D3087" s="502"/>
    </row>
    <row r="3088" spans="1:4" x14ac:dyDescent="0.2">
      <c r="A3088" s="502"/>
      <c r="B3088" s="502"/>
      <c r="C3088" s="22"/>
      <c r="D3088" s="502"/>
    </row>
    <row r="3089" spans="1:4" x14ac:dyDescent="0.2">
      <c r="A3089" s="502"/>
      <c r="B3089" s="502"/>
      <c r="C3089" s="22"/>
      <c r="D3089" s="502"/>
    </row>
    <row r="3090" spans="1:4" x14ac:dyDescent="0.2">
      <c r="A3090" s="502"/>
      <c r="B3090" s="502"/>
      <c r="C3090" s="22"/>
      <c r="D3090" s="502"/>
    </row>
    <row r="3091" spans="1:4" x14ac:dyDescent="0.2">
      <c r="A3091" s="502"/>
      <c r="B3091" s="502"/>
      <c r="C3091" s="22"/>
      <c r="D3091" s="502"/>
    </row>
    <row r="3092" spans="1:4" x14ac:dyDescent="0.2">
      <c r="A3092" s="502"/>
      <c r="B3092" s="502"/>
      <c r="C3092" s="22"/>
      <c r="D3092" s="502"/>
    </row>
    <row r="3093" spans="1:4" x14ac:dyDescent="0.2">
      <c r="A3093" s="502"/>
      <c r="B3093" s="502"/>
      <c r="C3093" s="22"/>
      <c r="D3093" s="502"/>
    </row>
    <row r="3094" spans="1:4" x14ac:dyDescent="0.2">
      <c r="A3094" s="502"/>
      <c r="B3094" s="502"/>
      <c r="C3094" s="22"/>
      <c r="D3094" s="502"/>
    </row>
    <row r="3095" spans="1:4" x14ac:dyDescent="0.2">
      <c r="A3095" s="502"/>
      <c r="B3095" s="502"/>
      <c r="C3095" s="22"/>
      <c r="D3095" s="502"/>
    </row>
    <row r="3096" spans="1:4" x14ac:dyDescent="0.2">
      <c r="A3096" s="502"/>
      <c r="B3096" s="502"/>
      <c r="C3096" s="22"/>
      <c r="D3096" s="502"/>
    </row>
    <row r="3097" spans="1:4" x14ac:dyDescent="0.2">
      <c r="A3097" s="502"/>
      <c r="B3097" s="502"/>
      <c r="C3097" s="22"/>
      <c r="D3097" s="502"/>
    </row>
    <row r="3098" spans="1:4" x14ac:dyDescent="0.2">
      <c r="A3098" s="502"/>
      <c r="B3098" s="502"/>
      <c r="C3098" s="22"/>
      <c r="D3098" s="502"/>
    </row>
    <row r="3099" spans="1:4" x14ac:dyDescent="0.2">
      <c r="A3099" s="502"/>
      <c r="B3099" s="502"/>
      <c r="C3099" s="22"/>
      <c r="D3099" s="502"/>
    </row>
    <row r="3100" spans="1:4" x14ac:dyDescent="0.2">
      <c r="A3100" s="502"/>
      <c r="B3100" s="502"/>
      <c r="C3100" s="22"/>
      <c r="D3100" s="502"/>
    </row>
    <row r="3101" spans="1:4" x14ac:dyDescent="0.2">
      <c r="A3101" s="502"/>
      <c r="B3101" s="502"/>
      <c r="C3101" s="22"/>
      <c r="D3101" s="502"/>
    </row>
    <row r="3102" spans="1:4" x14ac:dyDescent="0.2">
      <c r="A3102" s="502"/>
      <c r="B3102" s="502"/>
      <c r="C3102" s="22"/>
      <c r="D3102" s="502"/>
    </row>
    <row r="3103" spans="1:4" x14ac:dyDescent="0.2">
      <c r="A3103" s="502"/>
      <c r="B3103" s="502"/>
      <c r="C3103" s="22"/>
      <c r="D3103" s="502"/>
    </row>
    <row r="3104" spans="1:4" x14ac:dyDescent="0.2">
      <c r="A3104" s="502"/>
      <c r="B3104" s="502"/>
      <c r="C3104" s="22"/>
      <c r="D3104" s="502"/>
    </row>
    <row r="3105" spans="1:4" x14ac:dyDescent="0.2">
      <c r="A3105" s="502"/>
      <c r="B3105" s="502"/>
      <c r="C3105" s="22"/>
      <c r="D3105" s="502"/>
    </row>
    <row r="3106" spans="1:4" x14ac:dyDescent="0.2">
      <c r="A3106" s="502"/>
      <c r="B3106" s="502"/>
      <c r="C3106" s="22"/>
      <c r="D3106" s="502"/>
    </row>
    <row r="3107" spans="1:4" x14ac:dyDescent="0.2">
      <c r="A3107" s="502"/>
      <c r="B3107" s="502"/>
      <c r="C3107" s="22"/>
      <c r="D3107" s="502"/>
    </row>
    <row r="3108" spans="1:4" x14ac:dyDescent="0.2">
      <c r="A3108" s="502"/>
      <c r="B3108" s="502"/>
      <c r="C3108" s="22"/>
      <c r="D3108" s="502"/>
    </row>
    <row r="3109" spans="1:4" x14ac:dyDescent="0.2">
      <c r="A3109" s="502"/>
      <c r="B3109" s="502"/>
      <c r="C3109" s="22"/>
      <c r="D3109" s="502"/>
    </row>
    <row r="3110" spans="1:4" x14ac:dyDescent="0.2">
      <c r="A3110" s="502"/>
      <c r="B3110" s="502"/>
      <c r="C3110" s="22"/>
      <c r="D3110" s="502"/>
    </row>
    <row r="3111" spans="1:4" x14ac:dyDescent="0.2">
      <c r="A3111" s="502"/>
      <c r="B3111" s="502"/>
      <c r="C3111" s="22"/>
      <c r="D3111" s="502"/>
    </row>
    <row r="3112" spans="1:4" x14ac:dyDescent="0.2">
      <c r="A3112" s="502"/>
      <c r="B3112" s="502"/>
      <c r="C3112" s="22"/>
      <c r="D3112" s="502"/>
    </row>
    <row r="3113" spans="1:4" x14ac:dyDescent="0.2">
      <c r="A3113" s="502"/>
      <c r="B3113" s="502"/>
      <c r="C3113" s="22"/>
      <c r="D3113" s="502"/>
    </row>
    <row r="3114" spans="1:4" x14ac:dyDescent="0.2">
      <c r="A3114" s="502"/>
      <c r="B3114" s="502"/>
      <c r="C3114" s="22"/>
      <c r="D3114" s="502"/>
    </row>
    <row r="3115" spans="1:4" x14ac:dyDescent="0.2">
      <c r="A3115" s="502"/>
      <c r="B3115" s="502"/>
      <c r="C3115" s="22"/>
      <c r="D3115" s="502"/>
    </row>
    <row r="3116" spans="1:4" x14ac:dyDescent="0.2">
      <c r="A3116" s="502"/>
      <c r="B3116" s="502"/>
      <c r="C3116" s="22"/>
      <c r="D3116" s="502"/>
    </row>
    <row r="3117" spans="1:4" x14ac:dyDescent="0.2">
      <c r="A3117" s="502"/>
      <c r="B3117" s="502"/>
      <c r="C3117" s="22"/>
      <c r="D3117" s="502"/>
    </row>
    <row r="3118" spans="1:4" x14ac:dyDescent="0.2">
      <c r="A3118" s="502"/>
      <c r="B3118" s="502"/>
      <c r="C3118" s="22"/>
      <c r="D3118" s="502"/>
    </row>
    <row r="3119" spans="1:4" x14ac:dyDescent="0.2">
      <c r="A3119" s="502"/>
      <c r="B3119" s="502"/>
      <c r="C3119" s="22"/>
      <c r="D3119" s="502"/>
    </row>
    <row r="3120" spans="1:4" x14ac:dyDescent="0.2">
      <c r="A3120" s="502"/>
      <c r="B3120" s="502"/>
      <c r="C3120" s="22"/>
      <c r="D3120" s="502"/>
    </row>
    <row r="3121" spans="1:4" x14ac:dyDescent="0.2">
      <c r="A3121" s="502"/>
      <c r="B3121" s="502"/>
      <c r="C3121" s="22"/>
      <c r="D3121" s="502"/>
    </row>
    <row r="3122" spans="1:4" x14ac:dyDescent="0.2">
      <c r="A3122" s="502"/>
      <c r="B3122" s="502"/>
      <c r="C3122" s="22"/>
      <c r="D3122" s="502"/>
    </row>
    <row r="3123" spans="1:4" x14ac:dyDescent="0.2">
      <c r="A3123" s="502"/>
      <c r="B3123" s="502"/>
      <c r="C3123" s="22"/>
      <c r="D3123" s="502"/>
    </row>
    <row r="3124" spans="1:4" x14ac:dyDescent="0.2">
      <c r="A3124" s="502"/>
      <c r="B3124" s="502"/>
      <c r="C3124" s="22"/>
      <c r="D3124" s="502"/>
    </row>
    <row r="3125" spans="1:4" x14ac:dyDescent="0.2">
      <c r="A3125" s="502"/>
      <c r="B3125" s="502"/>
      <c r="C3125" s="22"/>
      <c r="D3125" s="502"/>
    </row>
    <row r="3126" spans="1:4" x14ac:dyDescent="0.2">
      <c r="A3126" s="502"/>
      <c r="B3126" s="502"/>
      <c r="C3126" s="22"/>
      <c r="D3126" s="502"/>
    </row>
    <row r="3127" spans="1:4" x14ac:dyDescent="0.2">
      <c r="A3127" s="502"/>
      <c r="B3127" s="502"/>
      <c r="C3127" s="22"/>
      <c r="D3127" s="502"/>
    </row>
    <row r="3128" spans="1:4" x14ac:dyDescent="0.2">
      <c r="A3128" s="502"/>
      <c r="B3128" s="502"/>
      <c r="C3128" s="22"/>
      <c r="D3128" s="502"/>
    </row>
    <row r="3129" spans="1:4" x14ac:dyDescent="0.2">
      <c r="A3129" s="502"/>
      <c r="B3129" s="502"/>
      <c r="C3129" s="22"/>
      <c r="D3129" s="502"/>
    </row>
    <row r="3130" spans="1:4" x14ac:dyDescent="0.2">
      <c r="A3130" s="502"/>
      <c r="B3130" s="502"/>
      <c r="C3130" s="22"/>
      <c r="D3130" s="502"/>
    </row>
    <row r="3131" spans="1:4" x14ac:dyDescent="0.2">
      <c r="A3131" s="502"/>
      <c r="B3131" s="502"/>
      <c r="C3131" s="22"/>
      <c r="D3131" s="502"/>
    </row>
    <row r="3132" spans="1:4" x14ac:dyDescent="0.2">
      <c r="A3132" s="502"/>
      <c r="B3132" s="502"/>
      <c r="C3132" s="22"/>
      <c r="D3132" s="502"/>
    </row>
    <row r="3133" spans="1:4" x14ac:dyDescent="0.2">
      <c r="A3133" s="502"/>
      <c r="B3133" s="502"/>
      <c r="C3133" s="22"/>
      <c r="D3133" s="502"/>
    </row>
    <row r="3134" spans="1:4" x14ac:dyDescent="0.2">
      <c r="A3134" s="502"/>
      <c r="B3134" s="502"/>
      <c r="C3134" s="22"/>
      <c r="D3134" s="502"/>
    </row>
    <row r="3135" spans="1:4" x14ac:dyDescent="0.2">
      <c r="A3135" s="502"/>
      <c r="B3135" s="502"/>
      <c r="C3135" s="22"/>
      <c r="D3135" s="502"/>
    </row>
    <row r="3136" spans="1:4" x14ac:dyDescent="0.2">
      <c r="A3136" s="502"/>
      <c r="B3136" s="502"/>
      <c r="C3136" s="22"/>
      <c r="D3136" s="502"/>
    </row>
    <row r="3137" spans="1:4" x14ac:dyDescent="0.2">
      <c r="A3137" s="502"/>
      <c r="B3137" s="502"/>
      <c r="C3137" s="22"/>
      <c r="D3137" s="502"/>
    </row>
    <row r="3138" spans="1:4" x14ac:dyDescent="0.2">
      <c r="A3138" s="502"/>
      <c r="B3138" s="502"/>
      <c r="C3138" s="22"/>
      <c r="D3138" s="502"/>
    </row>
    <row r="3139" spans="1:4" x14ac:dyDescent="0.2">
      <c r="A3139" s="502"/>
      <c r="B3139" s="502"/>
      <c r="C3139" s="22"/>
      <c r="D3139" s="502"/>
    </row>
    <row r="3140" spans="1:4" x14ac:dyDescent="0.2">
      <c r="A3140" s="502"/>
      <c r="B3140" s="502"/>
      <c r="C3140" s="22"/>
      <c r="D3140" s="502"/>
    </row>
    <row r="3141" spans="1:4" x14ac:dyDescent="0.2">
      <c r="A3141" s="502"/>
      <c r="B3141" s="502"/>
      <c r="C3141" s="22"/>
      <c r="D3141" s="502"/>
    </row>
    <row r="3142" spans="1:4" x14ac:dyDescent="0.2">
      <c r="A3142" s="502"/>
      <c r="B3142" s="502"/>
      <c r="C3142" s="22"/>
      <c r="D3142" s="502"/>
    </row>
    <row r="3143" spans="1:4" x14ac:dyDescent="0.2">
      <c r="A3143" s="502"/>
      <c r="B3143" s="502"/>
      <c r="C3143" s="22"/>
      <c r="D3143" s="502"/>
    </row>
    <row r="3144" spans="1:4" x14ac:dyDescent="0.2">
      <c r="A3144" s="502"/>
      <c r="B3144" s="502"/>
      <c r="C3144" s="22"/>
      <c r="D3144" s="502"/>
    </row>
    <row r="3145" spans="1:4" x14ac:dyDescent="0.2">
      <c r="A3145" s="502"/>
      <c r="B3145" s="502"/>
      <c r="C3145" s="22"/>
      <c r="D3145" s="502"/>
    </row>
    <row r="3146" spans="1:4" x14ac:dyDescent="0.2">
      <c r="A3146" s="502"/>
      <c r="B3146" s="502"/>
      <c r="C3146" s="22"/>
      <c r="D3146" s="502"/>
    </row>
    <row r="3147" spans="1:4" x14ac:dyDescent="0.2">
      <c r="A3147" s="502"/>
      <c r="B3147" s="502"/>
      <c r="C3147" s="22"/>
      <c r="D3147" s="502"/>
    </row>
    <row r="3148" spans="1:4" x14ac:dyDescent="0.2">
      <c r="A3148" s="502"/>
      <c r="B3148" s="502"/>
      <c r="C3148" s="22"/>
      <c r="D3148" s="502"/>
    </row>
    <row r="3149" spans="1:4" x14ac:dyDescent="0.2">
      <c r="A3149" s="502"/>
      <c r="B3149" s="502"/>
      <c r="C3149" s="22"/>
      <c r="D3149" s="502"/>
    </row>
    <row r="3150" spans="1:4" x14ac:dyDescent="0.2">
      <c r="A3150" s="502"/>
      <c r="B3150" s="502"/>
      <c r="C3150" s="22"/>
      <c r="D3150" s="502"/>
    </row>
    <row r="3151" spans="1:4" x14ac:dyDescent="0.2">
      <c r="A3151" s="502"/>
      <c r="B3151" s="502"/>
      <c r="C3151" s="22"/>
      <c r="D3151" s="502"/>
    </row>
    <row r="3152" spans="1:4" x14ac:dyDescent="0.2">
      <c r="A3152" s="502"/>
      <c r="B3152" s="502"/>
      <c r="C3152" s="22"/>
      <c r="D3152" s="502"/>
    </row>
    <row r="3153" spans="1:4" x14ac:dyDescent="0.2">
      <c r="A3153" s="502"/>
      <c r="B3153" s="502"/>
      <c r="C3153" s="22"/>
      <c r="D3153" s="502"/>
    </row>
    <row r="3154" spans="1:4" x14ac:dyDescent="0.2">
      <c r="A3154" s="502"/>
      <c r="B3154" s="502"/>
      <c r="C3154" s="22"/>
      <c r="D3154" s="502"/>
    </row>
    <row r="3155" spans="1:4" x14ac:dyDescent="0.2">
      <c r="A3155" s="502"/>
      <c r="B3155" s="502"/>
      <c r="C3155" s="22"/>
      <c r="D3155" s="502"/>
    </row>
    <row r="3156" spans="1:4" x14ac:dyDescent="0.2">
      <c r="A3156" s="502"/>
      <c r="B3156" s="502"/>
      <c r="C3156" s="22"/>
      <c r="D3156" s="502"/>
    </row>
    <row r="3157" spans="1:4" x14ac:dyDescent="0.2">
      <c r="A3157" s="502"/>
      <c r="B3157" s="502"/>
      <c r="C3157" s="22"/>
      <c r="D3157" s="502"/>
    </row>
    <row r="3158" spans="1:4" x14ac:dyDescent="0.2">
      <c r="A3158" s="502"/>
      <c r="B3158" s="502"/>
      <c r="C3158" s="22"/>
      <c r="D3158" s="502"/>
    </row>
    <row r="3159" spans="1:4" x14ac:dyDescent="0.2">
      <c r="A3159" s="502"/>
      <c r="B3159" s="502"/>
      <c r="C3159" s="22"/>
      <c r="D3159" s="502"/>
    </row>
    <row r="3160" spans="1:4" x14ac:dyDescent="0.2">
      <c r="A3160" s="502"/>
      <c r="B3160" s="502"/>
      <c r="C3160" s="22"/>
      <c r="D3160" s="502"/>
    </row>
    <row r="3161" spans="1:4" x14ac:dyDescent="0.2">
      <c r="A3161" s="502"/>
      <c r="B3161" s="502"/>
      <c r="C3161" s="22"/>
      <c r="D3161" s="502"/>
    </row>
    <row r="3162" spans="1:4" x14ac:dyDescent="0.2">
      <c r="A3162" s="502"/>
      <c r="B3162" s="502"/>
      <c r="C3162" s="22"/>
      <c r="D3162" s="502"/>
    </row>
    <row r="3163" spans="1:4" x14ac:dyDescent="0.2">
      <c r="A3163" s="502"/>
      <c r="B3163" s="502"/>
      <c r="C3163" s="22"/>
      <c r="D3163" s="502"/>
    </row>
    <row r="3164" spans="1:4" x14ac:dyDescent="0.2">
      <c r="A3164" s="502"/>
      <c r="B3164" s="502"/>
      <c r="C3164" s="22"/>
      <c r="D3164" s="502"/>
    </row>
    <row r="3165" spans="1:4" x14ac:dyDescent="0.2">
      <c r="A3165" s="502"/>
      <c r="B3165" s="502"/>
      <c r="C3165" s="22"/>
      <c r="D3165" s="502"/>
    </row>
    <row r="3166" spans="1:4" x14ac:dyDescent="0.2">
      <c r="A3166" s="502"/>
      <c r="B3166" s="502"/>
      <c r="C3166" s="22"/>
      <c r="D3166" s="502"/>
    </row>
    <row r="3167" spans="1:4" x14ac:dyDescent="0.2">
      <c r="A3167" s="502"/>
      <c r="B3167" s="502"/>
      <c r="C3167" s="22"/>
      <c r="D3167" s="502"/>
    </row>
    <row r="3168" spans="1:4" x14ac:dyDescent="0.2">
      <c r="A3168" s="502"/>
      <c r="B3168" s="502"/>
      <c r="C3168" s="22"/>
      <c r="D3168" s="502"/>
    </row>
    <row r="3169" spans="1:4" x14ac:dyDescent="0.2">
      <c r="A3169" s="502"/>
      <c r="B3169" s="502"/>
      <c r="C3169" s="22"/>
      <c r="D3169" s="502"/>
    </row>
    <row r="3170" spans="1:4" x14ac:dyDescent="0.2">
      <c r="A3170" s="502"/>
      <c r="B3170" s="502"/>
      <c r="C3170" s="22"/>
      <c r="D3170" s="502"/>
    </row>
    <row r="3171" spans="1:4" x14ac:dyDescent="0.2">
      <c r="A3171" s="502"/>
      <c r="B3171" s="502"/>
      <c r="C3171" s="22"/>
      <c r="D3171" s="502"/>
    </row>
    <row r="3172" spans="1:4" x14ac:dyDescent="0.2">
      <c r="A3172" s="502"/>
      <c r="B3172" s="502"/>
      <c r="C3172" s="22"/>
      <c r="D3172" s="502"/>
    </row>
    <row r="3173" spans="1:4" x14ac:dyDescent="0.2">
      <c r="A3173" s="502"/>
      <c r="B3173" s="502"/>
      <c r="C3173" s="22"/>
      <c r="D3173" s="502"/>
    </row>
    <row r="3174" spans="1:4" x14ac:dyDescent="0.2">
      <c r="A3174" s="502"/>
      <c r="B3174" s="502"/>
      <c r="C3174" s="22"/>
      <c r="D3174" s="502"/>
    </row>
    <row r="3175" spans="1:4" x14ac:dyDescent="0.2">
      <c r="A3175" s="502"/>
      <c r="B3175" s="502"/>
      <c r="C3175" s="22"/>
      <c r="D3175" s="502"/>
    </row>
    <row r="3176" spans="1:4" x14ac:dyDescent="0.2">
      <c r="A3176" s="502"/>
      <c r="B3176" s="502"/>
      <c r="C3176" s="22"/>
      <c r="D3176" s="502"/>
    </row>
    <row r="3177" spans="1:4" x14ac:dyDescent="0.2">
      <c r="A3177" s="502"/>
      <c r="B3177" s="502"/>
      <c r="C3177" s="22"/>
      <c r="D3177" s="502"/>
    </row>
    <row r="3178" spans="1:4" x14ac:dyDescent="0.2">
      <c r="A3178" s="502"/>
      <c r="B3178" s="502"/>
      <c r="C3178" s="22"/>
      <c r="D3178" s="502"/>
    </row>
    <row r="3179" spans="1:4" x14ac:dyDescent="0.2">
      <c r="A3179" s="502"/>
      <c r="B3179" s="502"/>
      <c r="C3179" s="22"/>
      <c r="D3179" s="502"/>
    </row>
    <row r="3180" spans="1:4" x14ac:dyDescent="0.2">
      <c r="A3180" s="502"/>
      <c r="B3180" s="502"/>
      <c r="C3180" s="22"/>
      <c r="D3180" s="502"/>
    </row>
    <row r="3181" spans="1:4" x14ac:dyDescent="0.2">
      <c r="A3181" s="502"/>
      <c r="B3181" s="502"/>
      <c r="C3181" s="22"/>
      <c r="D3181" s="502"/>
    </row>
    <row r="3182" spans="1:4" x14ac:dyDescent="0.2">
      <c r="A3182" s="502"/>
      <c r="B3182" s="502"/>
      <c r="C3182" s="22"/>
      <c r="D3182" s="502"/>
    </row>
    <row r="3183" spans="1:4" x14ac:dyDescent="0.2">
      <c r="A3183" s="502"/>
      <c r="B3183" s="502"/>
      <c r="C3183" s="22"/>
      <c r="D3183" s="502"/>
    </row>
    <row r="3184" spans="1:4" x14ac:dyDescent="0.2">
      <c r="A3184" s="502"/>
      <c r="B3184" s="502"/>
      <c r="C3184" s="22"/>
      <c r="D3184" s="502"/>
    </row>
    <row r="3185" spans="1:4" x14ac:dyDescent="0.2">
      <c r="A3185" s="502"/>
      <c r="B3185" s="502"/>
      <c r="C3185" s="22"/>
      <c r="D3185" s="502"/>
    </row>
    <row r="3186" spans="1:4" x14ac:dyDescent="0.2">
      <c r="A3186" s="502"/>
      <c r="B3186" s="502"/>
      <c r="C3186" s="22"/>
      <c r="D3186" s="502"/>
    </row>
    <row r="3187" spans="1:4" x14ac:dyDescent="0.2">
      <c r="A3187" s="502"/>
      <c r="B3187" s="502"/>
      <c r="C3187" s="22"/>
      <c r="D3187" s="502"/>
    </row>
    <row r="3188" spans="1:4" x14ac:dyDescent="0.2">
      <c r="A3188" s="502"/>
      <c r="B3188" s="502"/>
      <c r="C3188" s="22"/>
      <c r="D3188" s="502"/>
    </row>
    <row r="3189" spans="1:4" x14ac:dyDescent="0.2">
      <c r="A3189" s="502"/>
      <c r="B3189" s="502"/>
      <c r="C3189" s="22"/>
      <c r="D3189" s="502"/>
    </row>
    <row r="3190" spans="1:4" x14ac:dyDescent="0.2">
      <c r="A3190" s="502"/>
      <c r="B3190" s="502"/>
      <c r="C3190" s="22"/>
      <c r="D3190" s="502"/>
    </row>
    <row r="3191" spans="1:4" x14ac:dyDescent="0.2">
      <c r="A3191" s="502"/>
      <c r="B3191" s="502"/>
      <c r="C3191" s="22"/>
      <c r="D3191" s="502"/>
    </row>
    <row r="3192" spans="1:4" x14ac:dyDescent="0.2">
      <c r="A3192" s="502"/>
      <c r="B3192" s="502"/>
      <c r="C3192" s="22"/>
      <c r="D3192" s="502"/>
    </row>
    <row r="3193" spans="1:4" x14ac:dyDescent="0.2">
      <c r="A3193" s="502"/>
      <c r="B3193" s="502"/>
      <c r="C3193" s="22"/>
      <c r="D3193" s="502"/>
    </row>
    <row r="3194" spans="1:4" x14ac:dyDescent="0.2">
      <c r="A3194" s="502"/>
      <c r="B3194" s="502"/>
      <c r="C3194" s="22"/>
      <c r="D3194" s="502"/>
    </row>
    <row r="3195" spans="1:4" x14ac:dyDescent="0.2">
      <c r="A3195" s="502"/>
      <c r="B3195" s="502"/>
      <c r="C3195" s="22"/>
      <c r="D3195" s="502"/>
    </row>
    <row r="3196" spans="1:4" x14ac:dyDescent="0.2">
      <c r="A3196" s="502"/>
      <c r="B3196" s="502"/>
      <c r="C3196" s="22"/>
      <c r="D3196" s="502"/>
    </row>
    <row r="3197" spans="1:4" x14ac:dyDescent="0.2">
      <c r="A3197" s="502"/>
      <c r="B3197" s="502"/>
      <c r="C3197" s="22"/>
      <c r="D3197" s="502"/>
    </row>
    <row r="3198" spans="1:4" x14ac:dyDescent="0.2">
      <c r="A3198" s="502"/>
      <c r="B3198" s="502"/>
      <c r="C3198" s="22"/>
      <c r="D3198" s="502"/>
    </row>
    <row r="3199" spans="1:4" x14ac:dyDescent="0.2">
      <c r="A3199" s="502"/>
      <c r="B3199" s="502"/>
      <c r="C3199" s="22"/>
      <c r="D3199" s="502"/>
    </row>
    <row r="3200" spans="1:4" x14ac:dyDescent="0.2">
      <c r="A3200" s="502"/>
      <c r="B3200" s="502"/>
      <c r="C3200" s="22"/>
      <c r="D3200" s="502"/>
    </row>
    <row r="3201" spans="1:4" x14ac:dyDescent="0.2">
      <c r="A3201" s="502"/>
      <c r="B3201" s="502"/>
      <c r="C3201" s="22"/>
      <c r="D3201" s="502"/>
    </row>
    <row r="3202" spans="1:4" x14ac:dyDescent="0.2">
      <c r="A3202" s="502"/>
      <c r="B3202" s="502"/>
      <c r="C3202" s="22"/>
      <c r="D3202" s="502"/>
    </row>
    <row r="3203" spans="1:4" x14ac:dyDescent="0.2">
      <c r="A3203" s="502"/>
      <c r="B3203" s="502"/>
      <c r="C3203" s="22"/>
      <c r="D3203" s="502"/>
    </row>
    <row r="3204" spans="1:4" x14ac:dyDescent="0.2">
      <c r="A3204" s="502"/>
      <c r="B3204" s="502"/>
      <c r="C3204" s="22"/>
      <c r="D3204" s="502"/>
    </row>
    <row r="3205" spans="1:4" x14ac:dyDescent="0.2">
      <c r="A3205" s="502"/>
      <c r="B3205" s="502"/>
      <c r="C3205" s="22"/>
      <c r="D3205" s="502"/>
    </row>
    <row r="3206" spans="1:4" x14ac:dyDescent="0.2">
      <c r="A3206" s="502"/>
      <c r="B3206" s="502"/>
      <c r="C3206" s="22"/>
      <c r="D3206" s="502"/>
    </row>
    <row r="3207" spans="1:4" x14ac:dyDescent="0.2">
      <c r="A3207" s="502"/>
      <c r="B3207" s="502"/>
      <c r="C3207" s="22"/>
      <c r="D3207" s="502"/>
    </row>
    <row r="3208" spans="1:4" x14ac:dyDescent="0.2">
      <c r="A3208" s="502"/>
      <c r="B3208" s="502"/>
      <c r="C3208" s="22"/>
      <c r="D3208" s="502"/>
    </row>
    <row r="3209" spans="1:4" x14ac:dyDescent="0.2">
      <c r="A3209" s="502"/>
      <c r="B3209" s="502"/>
      <c r="C3209" s="22"/>
      <c r="D3209" s="502"/>
    </row>
    <row r="3210" spans="1:4" x14ac:dyDescent="0.2">
      <c r="A3210" s="502"/>
      <c r="B3210" s="502"/>
      <c r="C3210" s="22"/>
      <c r="D3210" s="502"/>
    </row>
    <row r="3211" spans="1:4" x14ac:dyDescent="0.2">
      <c r="A3211" s="502"/>
      <c r="B3211" s="502"/>
      <c r="C3211" s="22"/>
      <c r="D3211" s="502"/>
    </row>
    <row r="3212" spans="1:4" x14ac:dyDescent="0.2">
      <c r="A3212" s="502"/>
      <c r="B3212" s="502"/>
      <c r="C3212" s="22"/>
      <c r="D3212" s="502"/>
    </row>
    <row r="3213" spans="1:4" x14ac:dyDescent="0.2">
      <c r="A3213" s="502"/>
      <c r="B3213" s="502"/>
      <c r="C3213" s="22"/>
      <c r="D3213" s="502"/>
    </row>
    <row r="3214" spans="1:4" x14ac:dyDescent="0.2">
      <c r="A3214" s="502"/>
      <c r="B3214" s="502"/>
      <c r="C3214" s="22"/>
      <c r="D3214" s="502"/>
    </row>
    <row r="3215" spans="1:4" x14ac:dyDescent="0.2">
      <c r="A3215" s="502"/>
      <c r="B3215" s="502"/>
      <c r="C3215" s="22"/>
      <c r="D3215" s="502"/>
    </row>
    <row r="3216" spans="1:4" x14ac:dyDescent="0.2">
      <c r="A3216" s="502"/>
      <c r="B3216" s="502"/>
      <c r="C3216" s="22"/>
      <c r="D3216" s="502"/>
    </row>
    <row r="3217" spans="1:4" x14ac:dyDescent="0.2">
      <c r="A3217" s="502"/>
      <c r="B3217" s="502"/>
      <c r="C3217" s="22"/>
      <c r="D3217" s="502"/>
    </row>
    <row r="3218" spans="1:4" x14ac:dyDescent="0.2">
      <c r="A3218" s="502"/>
      <c r="B3218" s="502"/>
      <c r="C3218" s="22"/>
      <c r="D3218" s="502"/>
    </row>
    <row r="3219" spans="1:4" x14ac:dyDescent="0.2">
      <c r="A3219" s="502"/>
      <c r="B3219" s="502"/>
      <c r="C3219" s="22"/>
      <c r="D3219" s="502"/>
    </row>
    <row r="3220" spans="1:4" x14ac:dyDescent="0.2">
      <c r="A3220" s="502"/>
      <c r="B3220" s="502"/>
      <c r="C3220" s="22"/>
      <c r="D3220" s="502"/>
    </row>
    <row r="3221" spans="1:4" x14ac:dyDescent="0.2">
      <c r="A3221" s="502"/>
      <c r="B3221" s="502"/>
      <c r="C3221" s="22"/>
      <c r="D3221" s="502"/>
    </row>
    <row r="3222" spans="1:4" x14ac:dyDescent="0.2">
      <c r="A3222" s="502"/>
      <c r="B3222" s="502"/>
      <c r="C3222" s="22"/>
      <c r="D3222" s="502"/>
    </row>
    <row r="3223" spans="1:4" x14ac:dyDescent="0.2">
      <c r="A3223" s="502"/>
      <c r="B3223" s="502"/>
      <c r="C3223" s="22"/>
      <c r="D3223" s="502"/>
    </row>
    <row r="3224" spans="1:4" x14ac:dyDescent="0.2">
      <c r="A3224" s="502"/>
      <c r="B3224" s="502"/>
      <c r="C3224" s="22"/>
      <c r="D3224" s="502"/>
    </row>
    <row r="3225" spans="1:4" x14ac:dyDescent="0.2">
      <c r="A3225" s="502"/>
      <c r="B3225" s="502"/>
      <c r="C3225" s="22"/>
      <c r="D3225" s="502"/>
    </row>
    <row r="3226" spans="1:4" x14ac:dyDescent="0.2">
      <c r="A3226" s="502"/>
      <c r="B3226" s="502"/>
      <c r="C3226" s="22"/>
      <c r="D3226" s="502"/>
    </row>
    <row r="3227" spans="1:4" x14ac:dyDescent="0.2">
      <c r="A3227" s="502"/>
      <c r="B3227" s="502"/>
      <c r="C3227" s="22"/>
      <c r="D3227" s="502"/>
    </row>
    <row r="3228" spans="1:4" x14ac:dyDescent="0.2">
      <c r="A3228" s="502"/>
      <c r="B3228" s="502"/>
      <c r="C3228" s="22"/>
      <c r="D3228" s="502"/>
    </row>
    <row r="3229" spans="1:4" x14ac:dyDescent="0.2">
      <c r="A3229" s="502"/>
      <c r="B3229" s="502"/>
      <c r="C3229" s="22"/>
      <c r="D3229" s="502"/>
    </row>
    <row r="3230" spans="1:4" x14ac:dyDescent="0.2">
      <c r="A3230" s="502"/>
      <c r="B3230" s="502"/>
      <c r="C3230" s="22"/>
      <c r="D3230" s="502"/>
    </row>
    <row r="3231" spans="1:4" x14ac:dyDescent="0.2">
      <c r="A3231" s="502"/>
      <c r="B3231" s="502"/>
      <c r="C3231" s="22"/>
      <c r="D3231" s="502"/>
    </row>
    <row r="3232" spans="1:4" x14ac:dyDescent="0.2">
      <c r="A3232" s="502"/>
      <c r="B3232" s="502"/>
      <c r="C3232" s="22"/>
      <c r="D3232" s="502"/>
    </row>
    <row r="3233" spans="1:4" x14ac:dyDescent="0.2">
      <c r="A3233" s="502"/>
      <c r="B3233" s="502"/>
      <c r="C3233" s="22"/>
      <c r="D3233" s="502"/>
    </row>
    <row r="3234" spans="1:4" x14ac:dyDescent="0.2">
      <c r="A3234" s="502"/>
      <c r="B3234" s="502"/>
      <c r="C3234" s="22"/>
      <c r="D3234" s="502"/>
    </row>
    <row r="3235" spans="1:4" x14ac:dyDescent="0.2">
      <c r="A3235" s="502"/>
      <c r="B3235" s="502"/>
      <c r="C3235" s="22"/>
      <c r="D3235" s="502"/>
    </row>
    <row r="3236" spans="1:4" x14ac:dyDescent="0.2">
      <c r="A3236" s="502"/>
      <c r="B3236" s="502"/>
      <c r="C3236" s="22"/>
      <c r="D3236" s="502"/>
    </row>
    <row r="3237" spans="1:4" x14ac:dyDescent="0.2">
      <c r="A3237" s="502"/>
      <c r="B3237" s="502"/>
      <c r="C3237" s="22"/>
      <c r="D3237" s="502"/>
    </row>
    <row r="3238" spans="1:4" x14ac:dyDescent="0.2">
      <c r="A3238" s="502"/>
      <c r="B3238" s="502"/>
      <c r="C3238" s="22"/>
      <c r="D3238" s="502"/>
    </row>
    <row r="3239" spans="1:4" x14ac:dyDescent="0.2">
      <c r="A3239" s="502"/>
      <c r="B3239" s="502"/>
      <c r="C3239" s="22"/>
      <c r="D3239" s="502"/>
    </row>
    <row r="3240" spans="1:4" x14ac:dyDescent="0.2">
      <c r="A3240" s="502"/>
      <c r="B3240" s="502"/>
      <c r="C3240" s="22"/>
      <c r="D3240" s="502"/>
    </row>
    <row r="3241" spans="1:4" x14ac:dyDescent="0.2">
      <c r="A3241" s="502"/>
      <c r="B3241" s="502"/>
      <c r="C3241" s="22"/>
      <c r="D3241" s="502"/>
    </row>
    <row r="3242" spans="1:4" x14ac:dyDescent="0.2">
      <c r="A3242" s="502"/>
      <c r="B3242" s="502"/>
      <c r="C3242" s="22"/>
      <c r="D3242" s="502"/>
    </row>
    <row r="3243" spans="1:4" x14ac:dyDescent="0.2">
      <c r="A3243" s="502"/>
      <c r="B3243" s="502"/>
      <c r="C3243" s="22"/>
      <c r="D3243" s="502"/>
    </row>
    <row r="3244" spans="1:4" x14ac:dyDescent="0.2">
      <c r="A3244" s="502"/>
      <c r="B3244" s="502"/>
      <c r="C3244" s="22"/>
      <c r="D3244" s="502"/>
    </row>
    <row r="3245" spans="1:4" x14ac:dyDescent="0.2">
      <c r="A3245" s="502"/>
      <c r="B3245" s="502"/>
      <c r="C3245" s="22"/>
      <c r="D3245" s="502"/>
    </row>
    <row r="3246" spans="1:4" x14ac:dyDescent="0.2">
      <c r="A3246" s="502"/>
      <c r="B3246" s="502"/>
      <c r="C3246" s="22"/>
      <c r="D3246" s="502"/>
    </row>
    <row r="3247" spans="1:4" x14ac:dyDescent="0.2">
      <c r="A3247" s="502"/>
      <c r="B3247" s="502"/>
      <c r="C3247" s="22"/>
      <c r="D3247" s="502"/>
    </row>
    <row r="3248" spans="1:4" x14ac:dyDescent="0.2">
      <c r="A3248" s="502"/>
      <c r="B3248" s="502"/>
      <c r="C3248" s="22"/>
      <c r="D3248" s="502"/>
    </row>
    <row r="3249" spans="1:4" x14ac:dyDescent="0.2">
      <c r="A3249" s="502"/>
      <c r="B3249" s="502"/>
      <c r="C3249" s="22"/>
      <c r="D3249" s="502"/>
    </row>
    <row r="3250" spans="1:4" x14ac:dyDescent="0.2">
      <c r="A3250" s="502"/>
      <c r="B3250" s="502"/>
      <c r="C3250" s="22"/>
      <c r="D3250" s="502"/>
    </row>
    <row r="3251" spans="1:4" x14ac:dyDescent="0.2">
      <c r="A3251" s="502"/>
      <c r="B3251" s="502"/>
      <c r="C3251" s="22"/>
      <c r="D3251" s="502"/>
    </row>
    <row r="3252" spans="1:4" x14ac:dyDescent="0.2">
      <c r="A3252" s="502"/>
      <c r="B3252" s="502"/>
      <c r="C3252" s="22"/>
      <c r="D3252" s="502"/>
    </row>
    <row r="3253" spans="1:4" x14ac:dyDescent="0.2">
      <c r="A3253" s="502"/>
      <c r="B3253" s="502"/>
      <c r="C3253" s="22"/>
      <c r="D3253" s="502"/>
    </row>
    <row r="3254" spans="1:4" x14ac:dyDescent="0.2">
      <c r="A3254" s="502"/>
      <c r="B3254" s="502"/>
      <c r="C3254" s="22"/>
      <c r="D3254" s="502"/>
    </row>
    <row r="3255" spans="1:4" x14ac:dyDescent="0.2">
      <c r="A3255" s="502"/>
      <c r="B3255" s="502"/>
      <c r="C3255" s="22"/>
      <c r="D3255" s="502"/>
    </row>
    <row r="3256" spans="1:4" x14ac:dyDescent="0.2">
      <c r="A3256" s="502"/>
      <c r="B3256" s="502"/>
      <c r="C3256" s="22"/>
      <c r="D3256" s="502"/>
    </row>
    <row r="3257" spans="1:4" x14ac:dyDescent="0.2">
      <c r="A3257" s="502"/>
      <c r="B3257" s="502"/>
      <c r="C3257" s="22"/>
      <c r="D3257" s="502"/>
    </row>
    <row r="3258" spans="1:4" x14ac:dyDescent="0.2">
      <c r="A3258" s="502"/>
      <c r="B3258" s="502"/>
      <c r="C3258" s="22"/>
      <c r="D3258" s="502"/>
    </row>
    <row r="3259" spans="1:4" x14ac:dyDescent="0.2">
      <c r="A3259" s="502"/>
      <c r="B3259" s="502"/>
      <c r="C3259" s="22"/>
      <c r="D3259" s="502"/>
    </row>
    <row r="3260" spans="1:4" x14ac:dyDescent="0.2">
      <c r="A3260" s="502"/>
      <c r="B3260" s="502"/>
      <c r="C3260" s="22"/>
      <c r="D3260" s="502"/>
    </row>
    <row r="3261" spans="1:4" x14ac:dyDescent="0.2">
      <c r="A3261" s="502"/>
      <c r="B3261" s="502"/>
      <c r="C3261" s="22"/>
      <c r="D3261" s="502"/>
    </row>
    <row r="3262" spans="1:4" x14ac:dyDescent="0.2">
      <c r="A3262" s="502"/>
      <c r="B3262" s="502"/>
      <c r="C3262" s="22"/>
      <c r="D3262" s="502"/>
    </row>
    <row r="3263" spans="1:4" x14ac:dyDescent="0.2">
      <c r="A3263" s="502"/>
      <c r="B3263" s="502"/>
      <c r="C3263" s="22"/>
      <c r="D3263" s="502"/>
    </row>
    <row r="3264" spans="1:4" x14ac:dyDescent="0.2">
      <c r="A3264" s="502"/>
      <c r="B3264" s="502"/>
      <c r="C3264" s="22"/>
      <c r="D3264" s="502"/>
    </row>
    <row r="3265" spans="1:4" x14ac:dyDescent="0.2">
      <c r="A3265" s="502"/>
      <c r="B3265" s="502"/>
      <c r="C3265" s="22"/>
      <c r="D3265" s="502"/>
    </row>
    <row r="3266" spans="1:4" x14ac:dyDescent="0.2">
      <c r="A3266" s="502"/>
      <c r="B3266" s="502"/>
      <c r="C3266" s="22"/>
      <c r="D3266" s="502"/>
    </row>
    <row r="3267" spans="1:4" x14ac:dyDescent="0.2">
      <c r="A3267" s="502"/>
      <c r="B3267" s="502"/>
      <c r="C3267" s="22"/>
      <c r="D3267" s="502"/>
    </row>
    <row r="3268" spans="1:4" x14ac:dyDescent="0.2">
      <c r="A3268" s="502"/>
      <c r="B3268" s="502"/>
      <c r="C3268" s="22"/>
      <c r="D3268" s="502"/>
    </row>
    <row r="3269" spans="1:4" x14ac:dyDescent="0.2">
      <c r="A3269" s="502"/>
      <c r="B3269" s="502"/>
      <c r="C3269" s="22"/>
      <c r="D3269" s="502"/>
    </row>
    <row r="3270" spans="1:4" x14ac:dyDescent="0.2">
      <c r="A3270" s="502"/>
      <c r="B3270" s="502"/>
      <c r="C3270" s="22"/>
      <c r="D3270" s="502"/>
    </row>
    <row r="3271" spans="1:4" x14ac:dyDescent="0.2">
      <c r="A3271" s="502"/>
      <c r="B3271" s="502"/>
      <c r="C3271" s="22"/>
      <c r="D3271" s="502"/>
    </row>
    <row r="3272" spans="1:4" x14ac:dyDescent="0.2">
      <c r="A3272" s="502"/>
      <c r="B3272" s="502"/>
      <c r="C3272" s="22"/>
      <c r="D3272" s="502"/>
    </row>
    <row r="3273" spans="1:4" x14ac:dyDescent="0.2">
      <c r="A3273" s="502"/>
      <c r="B3273" s="502"/>
      <c r="C3273" s="22"/>
      <c r="D3273" s="502"/>
    </row>
    <row r="3274" spans="1:4" x14ac:dyDescent="0.2">
      <c r="A3274" s="502"/>
      <c r="B3274" s="502"/>
      <c r="C3274" s="22"/>
      <c r="D3274" s="502"/>
    </row>
    <row r="3275" spans="1:4" x14ac:dyDescent="0.2">
      <c r="A3275" s="502"/>
      <c r="B3275" s="502"/>
      <c r="C3275" s="22"/>
      <c r="D3275" s="502"/>
    </row>
    <row r="3276" spans="1:4" x14ac:dyDescent="0.2">
      <c r="A3276" s="502"/>
      <c r="B3276" s="502"/>
      <c r="C3276" s="22"/>
      <c r="D3276" s="502"/>
    </row>
    <row r="3277" spans="1:4" x14ac:dyDescent="0.2">
      <c r="A3277" s="502"/>
      <c r="B3277" s="502"/>
      <c r="C3277" s="22"/>
      <c r="D3277" s="502"/>
    </row>
    <row r="3278" spans="1:4" x14ac:dyDescent="0.2">
      <c r="A3278" s="502"/>
      <c r="B3278" s="502"/>
      <c r="C3278" s="22"/>
      <c r="D3278" s="502"/>
    </row>
    <row r="3279" spans="1:4" x14ac:dyDescent="0.2">
      <c r="A3279" s="502"/>
      <c r="B3279" s="502"/>
      <c r="C3279" s="22"/>
      <c r="D3279" s="502"/>
    </row>
    <row r="3280" spans="1:4" x14ac:dyDescent="0.2">
      <c r="A3280" s="502"/>
      <c r="B3280" s="502"/>
      <c r="C3280" s="22"/>
      <c r="D3280" s="502"/>
    </row>
    <row r="3281" spans="1:4" x14ac:dyDescent="0.2">
      <c r="A3281" s="502"/>
      <c r="B3281" s="502"/>
      <c r="C3281" s="22"/>
      <c r="D3281" s="502"/>
    </row>
    <row r="3282" spans="1:4" x14ac:dyDescent="0.2">
      <c r="A3282" s="502"/>
      <c r="B3282" s="502"/>
      <c r="C3282" s="22"/>
      <c r="D3282" s="502"/>
    </row>
    <row r="3283" spans="1:4" x14ac:dyDescent="0.2">
      <c r="A3283" s="502"/>
      <c r="B3283" s="502"/>
      <c r="C3283" s="22"/>
      <c r="D3283" s="502"/>
    </row>
    <row r="3284" spans="1:4" x14ac:dyDescent="0.2">
      <c r="A3284" s="502"/>
      <c r="B3284" s="502"/>
      <c r="C3284" s="22"/>
      <c r="D3284" s="502"/>
    </row>
    <row r="3285" spans="1:4" x14ac:dyDescent="0.2">
      <c r="A3285" s="502"/>
      <c r="B3285" s="502"/>
      <c r="C3285" s="22"/>
      <c r="D3285" s="502"/>
    </row>
    <row r="3286" spans="1:4" x14ac:dyDescent="0.2">
      <c r="A3286" s="502"/>
      <c r="B3286" s="502"/>
      <c r="C3286" s="22"/>
      <c r="D3286" s="502"/>
    </row>
    <row r="3287" spans="1:4" x14ac:dyDescent="0.2">
      <c r="A3287" s="502"/>
      <c r="B3287" s="502"/>
      <c r="C3287" s="22"/>
      <c r="D3287" s="502"/>
    </row>
    <row r="3288" spans="1:4" x14ac:dyDescent="0.2">
      <c r="A3288" s="502"/>
      <c r="B3288" s="502"/>
      <c r="C3288" s="22"/>
      <c r="D3288" s="502"/>
    </row>
    <row r="3289" spans="1:4" x14ac:dyDescent="0.2">
      <c r="A3289" s="502"/>
      <c r="B3289" s="502"/>
      <c r="C3289" s="22"/>
      <c r="D3289" s="502"/>
    </row>
    <row r="3290" spans="1:4" x14ac:dyDescent="0.2">
      <c r="A3290" s="502"/>
      <c r="B3290" s="502"/>
      <c r="C3290" s="22"/>
      <c r="D3290" s="502"/>
    </row>
    <row r="3291" spans="1:4" x14ac:dyDescent="0.2">
      <c r="A3291" s="502"/>
      <c r="B3291" s="502"/>
      <c r="C3291" s="22"/>
      <c r="D3291" s="502"/>
    </row>
    <row r="3292" spans="1:4" x14ac:dyDescent="0.2">
      <c r="A3292" s="502"/>
      <c r="B3292" s="502"/>
      <c r="C3292" s="22"/>
      <c r="D3292" s="502"/>
    </row>
    <row r="3293" spans="1:4" x14ac:dyDescent="0.2">
      <c r="A3293" s="502"/>
      <c r="B3293" s="502"/>
      <c r="C3293" s="22"/>
      <c r="D3293" s="502"/>
    </row>
    <row r="3294" spans="1:4" x14ac:dyDescent="0.2">
      <c r="A3294" s="502"/>
      <c r="B3294" s="502"/>
      <c r="C3294" s="22"/>
      <c r="D3294" s="502"/>
    </row>
    <row r="3295" spans="1:4" x14ac:dyDescent="0.2">
      <c r="A3295" s="502"/>
      <c r="B3295" s="502"/>
      <c r="C3295" s="22"/>
      <c r="D3295" s="502"/>
    </row>
    <row r="3296" spans="1:4" x14ac:dyDescent="0.2">
      <c r="A3296" s="502"/>
      <c r="B3296" s="502"/>
      <c r="C3296" s="22"/>
      <c r="D3296" s="502"/>
    </row>
    <row r="3297" spans="1:4" x14ac:dyDescent="0.2">
      <c r="A3297" s="502"/>
      <c r="B3297" s="502"/>
      <c r="C3297" s="22"/>
      <c r="D3297" s="502"/>
    </row>
    <row r="3298" spans="1:4" x14ac:dyDescent="0.2">
      <c r="A3298" s="502"/>
      <c r="B3298" s="502"/>
      <c r="C3298" s="22"/>
      <c r="D3298" s="502"/>
    </row>
    <row r="3299" spans="1:4" x14ac:dyDescent="0.2">
      <c r="A3299" s="502"/>
      <c r="B3299" s="502"/>
      <c r="C3299" s="22"/>
      <c r="D3299" s="502"/>
    </row>
    <row r="3300" spans="1:4" x14ac:dyDescent="0.2">
      <c r="A3300" s="502"/>
      <c r="B3300" s="502"/>
      <c r="C3300" s="22"/>
      <c r="D3300" s="502"/>
    </row>
    <row r="3301" spans="1:4" x14ac:dyDescent="0.2">
      <c r="A3301" s="502"/>
      <c r="B3301" s="502"/>
      <c r="C3301" s="22"/>
      <c r="D3301" s="502"/>
    </row>
    <row r="3302" spans="1:4" x14ac:dyDescent="0.2">
      <c r="A3302" s="502"/>
      <c r="B3302" s="502"/>
      <c r="C3302" s="22"/>
      <c r="D3302" s="502"/>
    </row>
    <row r="3303" spans="1:4" x14ac:dyDescent="0.2">
      <c r="A3303" s="502"/>
      <c r="B3303" s="502"/>
      <c r="C3303" s="22"/>
      <c r="D3303" s="502"/>
    </row>
    <row r="3304" spans="1:4" x14ac:dyDescent="0.2">
      <c r="A3304" s="502"/>
      <c r="B3304" s="502"/>
      <c r="C3304" s="22"/>
      <c r="D3304" s="502"/>
    </row>
    <row r="3305" spans="1:4" x14ac:dyDescent="0.2">
      <c r="A3305" s="502"/>
      <c r="B3305" s="502"/>
      <c r="C3305" s="22"/>
      <c r="D3305" s="502"/>
    </row>
    <row r="3306" spans="1:4" x14ac:dyDescent="0.2">
      <c r="A3306" s="502"/>
      <c r="B3306" s="502"/>
      <c r="C3306" s="22"/>
      <c r="D3306" s="502"/>
    </row>
    <row r="3307" spans="1:4" x14ac:dyDescent="0.2">
      <c r="A3307" s="502"/>
      <c r="B3307" s="502"/>
      <c r="C3307" s="22"/>
      <c r="D3307" s="502"/>
    </row>
    <row r="3308" spans="1:4" x14ac:dyDescent="0.2">
      <c r="A3308" s="502"/>
      <c r="B3308" s="502"/>
      <c r="C3308" s="22"/>
      <c r="D3308" s="502"/>
    </row>
    <row r="3309" spans="1:4" x14ac:dyDescent="0.2">
      <c r="A3309" s="502"/>
      <c r="B3309" s="502"/>
      <c r="C3309" s="22"/>
      <c r="D3309" s="502"/>
    </row>
    <row r="3310" spans="1:4" x14ac:dyDescent="0.2">
      <c r="A3310" s="502"/>
      <c r="B3310" s="502"/>
      <c r="C3310" s="22"/>
      <c r="D3310" s="502"/>
    </row>
    <row r="3311" spans="1:4" x14ac:dyDescent="0.2">
      <c r="A3311" s="502"/>
      <c r="B3311" s="502"/>
      <c r="C3311" s="22"/>
      <c r="D3311" s="502"/>
    </row>
    <row r="3312" spans="1:4" x14ac:dyDescent="0.2">
      <c r="A3312" s="502"/>
      <c r="B3312" s="502"/>
      <c r="C3312" s="22"/>
      <c r="D3312" s="502"/>
    </row>
    <row r="3313" spans="1:4" x14ac:dyDescent="0.2">
      <c r="A3313" s="502"/>
      <c r="B3313" s="502"/>
      <c r="C3313" s="22"/>
      <c r="D3313" s="502"/>
    </row>
    <row r="3314" spans="1:4" x14ac:dyDescent="0.2">
      <c r="A3314" s="502"/>
      <c r="B3314" s="502"/>
      <c r="C3314" s="22"/>
      <c r="D3314" s="502"/>
    </row>
    <row r="3315" spans="1:4" x14ac:dyDescent="0.2">
      <c r="A3315" s="502"/>
      <c r="B3315" s="502"/>
      <c r="C3315" s="22"/>
      <c r="D3315" s="502"/>
    </row>
    <row r="3316" spans="1:4" x14ac:dyDescent="0.2">
      <c r="A3316" s="502"/>
      <c r="B3316" s="502"/>
      <c r="C3316" s="22"/>
      <c r="D3316" s="502"/>
    </row>
    <row r="3317" spans="1:4" x14ac:dyDescent="0.2">
      <c r="A3317" s="502"/>
      <c r="B3317" s="502"/>
      <c r="C3317" s="22"/>
      <c r="D3317" s="502"/>
    </row>
    <row r="3318" spans="1:4" x14ac:dyDescent="0.2">
      <c r="A3318" s="502"/>
      <c r="B3318" s="502"/>
      <c r="C3318" s="22"/>
      <c r="D3318" s="502"/>
    </row>
    <row r="3319" spans="1:4" x14ac:dyDescent="0.2">
      <c r="A3319" s="502"/>
      <c r="B3319" s="502"/>
      <c r="C3319" s="22"/>
      <c r="D3319" s="502"/>
    </row>
    <row r="3320" spans="1:4" x14ac:dyDescent="0.2">
      <c r="A3320" s="502"/>
      <c r="B3320" s="502"/>
      <c r="C3320" s="22"/>
      <c r="D3320" s="502"/>
    </row>
    <row r="3321" spans="1:4" x14ac:dyDescent="0.2">
      <c r="A3321" s="502"/>
      <c r="B3321" s="502"/>
      <c r="C3321" s="22"/>
      <c r="D3321" s="502"/>
    </row>
    <row r="3322" spans="1:4" x14ac:dyDescent="0.2">
      <c r="A3322" s="502"/>
      <c r="B3322" s="502"/>
      <c r="C3322" s="22"/>
      <c r="D3322" s="502"/>
    </row>
    <row r="3323" spans="1:4" x14ac:dyDescent="0.2">
      <c r="A3323" s="502"/>
      <c r="B3323" s="502"/>
      <c r="C3323" s="22"/>
      <c r="D3323" s="502"/>
    </row>
    <row r="3324" spans="1:4" x14ac:dyDescent="0.2">
      <c r="A3324" s="502"/>
      <c r="B3324" s="502"/>
      <c r="C3324" s="22"/>
      <c r="D3324" s="502"/>
    </row>
    <row r="3325" spans="1:4" x14ac:dyDescent="0.2">
      <c r="A3325" s="502"/>
      <c r="B3325" s="502"/>
      <c r="C3325" s="22"/>
      <c r="D3325" s="502"/>
    </row>
    <row r="3326" spans="1:4" x14ac:dyDescent="0.2">
      <c r="A3326" s="502"/>
      <c r="B3326" s="502"/>
      <c r="C3326" s="22"/>
      <c r="D3326" s="502"/>
    </row>
    <row r="3327" spans="1:4" x14ac:dyDescent="0.2">
      <c r="A3327" s="502"/>
      <c r="B3327" s="502"/>
      <c r="C3327" s="22"/>
      <c r="D3327" s="502"/>
    </row>
    <row r="3328" spans="1:4" x14ac:dyDescent="0.2">
      <c r="A3328" s="502"/>
      <c r="B3328" s="502"/>
      <c r="C3328" s="22"/>
      <c r="D3328" s="502"/>
    </row>
    <row r="3329" spans="1:4" x14ac:dyDescent="0.2">
      <c r="A3329" s="502"/>
      <c r="B3329" s="502"/>
      <c r="C3329" s="22"/>
      <c r="D3329" s="502"/>
    </row>
    <row r="3330" spans="1:4" x14ac:dyDescent="0.2">
      <c r="A3330" s="502"/>
      <c r="B3330" s="502"/>
      <c r="C3330" s="22"/>
      <c r="D3330" s="502"/>
    </row>
    <row r="3331" spans="1:4" x14ac:dyDescent="0.2">
      <c r="A3331" s="502"/>
      <c r="B3331" s="502"/>
      <c r="C3331" s="22"/>
      <c r="D3331" s="502"/>
    </row>
    <row r="3332" spans="1:4" x14ac:dyDescent="0.2">
      <c r="A3332" s="502"/>
      <c r="B3332" s="502"/>
      <c r="C3332" s="22"/>
      <c r="D3332" s="502"/>
    </row>
    <row r="3333" spans="1:4" x14ac:dyDescent="0.2">
      <c r="A3333" s="502"/>
      <c r="B3333" s="502"/>
      <c r="C3333" s="22"/>
      <c r="D3333" s="502"/>
    </row>
    <row r="3334" spans="1:4" x14ac:dyDescent="0.2">
      <c r="A3334" s="502"/>
      <c r="B3334" s="502"/>
      <c r="C3334" s="22"/>
      <c r="D3334" s="502"/>
    </row>
    <row r="3335" spans="1:4" x14ac:dyDescent="0.2">
      <c r="A3335" s="502"/>
      <c r="B3335" s="502"/>
      <c r="C3335" s="22"/>
      <c r="D3335" s="502"/>
    </row>
    <row r="3336" spans="1:4" x14ac:dyDescent="0.2">
      <c r="A3336" s="502"/>
      <c r="B3336" s="502"/>
      <c r="C3336" s="22"/>
      <c r="D3336" s="502"/>
    </row>
    <row r="3337" spans="1:4" x14ac:dyDescent="0.2">
      <c r="A3337" s="502"/>
      <c r="B3337" s="502"/>
      <c r="C3337" s="22"/>
      <c r="D3337" s="502"/>
    </row>
    <row r="3338" spans="1:4" x14ac:dyDescent="0.2">
      <c r="A3338" s="502"/>
      <c r="B3338" s="502"/>
      <c r="C3338" s="22"/>
      <c r="D3338" s="502"/>
    </row>
    <row r="3339" spans="1:4" x14ac:dyDescent="0.2">
      <c r="A3339" s="502"/>
      <c r="B3339" s="502"/>
      <c r="C3339" s="22"/>
      <c r="D3339" s="502"/>
    </row>
    <row r="3340" spans="1:4" x14ac:dyDescent="0.2">
      <c r="A3340" s="502"/>
      <c r="B3340" s="502"/>
      <c r="C3340" s="22"/>
      <c r="D3340" s="502"/>
    </row>
    <row r="3341" spans="1:4" x14ac:dyDescent="0.2">
      <c r="A3341" s="502"/>
      <c r="B3341" s="502"/>
      <c r="C3341" s="22"/>
      <c r="D3341" s="502"/>
    </row>
    <row r="3342" spans="1:4" x14ac:dyDescent="0.2">
      <c r="A3342" s="502"/>
      <c r="B3342" s="502"/>
      <c r="C3342" s="22"/>
      <c r="D3342" s="502"/>
    </row>
    <row r="3343" spans="1:4" x14ac:dyDescent="0.2">
      <c r="A3343" s="502"/>
      <c r="B3343" s="502"/>
      <c r="C3343" s="22"/>
      <c r="D3343" s="502"/>
    </row>
    <row r="3344" spans="1:4" x14ac:dyDescent="0.2">
      <c r="A3344" s="502"/>
      <c r="B3344" s="502"/>
      <c r="C3344" s="22"/>
      <c r="D3344" s="502"/>
    </row>
    <row r="3345" spans="1:4" x14ac:dyDescent="0.2">
      <c r="A3345" s="502"/>
      <c r="B3345" s="502"/>
      <c r="C3345" s="22"/>
      <c r="D3345" s="502"/>
    </row>
    <row r="3346" spans="1:4" x14ac:dyDescent="0.2">
      <c r="A3346" s="502"/>
      <c r="B3346" s="502"/>
      <c r="C3346" s="22"/>
      <c r="D3346" s="502"/>
    </row>
    <row r="3347" spans="1:4" x14ac:dyDescent="0.2">
      <c r="A3347" s="502"/>
      <c r="B3347" s="502"/>
      <c r="C3347" s="22"/>
      <c r="D3347" s="502"/>
    </row>
    <row r="3348" spans="1:4" x14ac:dyDescent="0.2">
      <c r="A3348" s="502"/>
      <c r="B3348" s="502"/>
      <c r="C3348" s="22"/>
      <c r="D3348" s="502"/>
    </row>
    <row r="3349" spans="1:4" x14ac:dyDescent="0.2">
      <c r="A3349" s="502"/>
      <c r="B3349" s="502"/>
      <c r="C3349" s="22"/>
      <c r="D3349" s="502"/>
    </row>
    <row r="3350" spans="1:4" x14ac:dyDescent="0.2">
      <c r="A3350" s="502"/>
      <c r="B3350" s="502"/>
      <c r="C3350" s="22"/>
      <c r="D3350" s="502"/>
    </row>
    <row r="3351" spans="1:4" x14ac:dyDescent="0.2">
      <c r="A3351" s="502"/>
      <c r="B3351" s="502"/>
      <c r="C3351" s="22"/>
      <c r="D3351" s="502"/>
    </row>
    <row r="3352" spans="1:4" x14ac:dyDescent="0.2">
      <c r="A3352" s="502"/>
      <c r="B3352" s="502"/>
      <c r="C3352" s="22"/>
      <c r="D3352" s="502"/>
    </row>
    <row r="3353" spans="1:4" x14ac:dyDescent="0.2">
      <c r="A3353" s="502"/>
      <c r="B3353" s="502"/>
      <c r="C3353" s="22"/>
      <c r="D3353" s="502"/>
    </row>
    <row r="3354" spans="1:4" x14ac:dyDescent="0.2">
      <c r="A3354" s="502"/>
      <c r="B3354" s="502"/>
      <c r="C3354" s="22"/>
      <c r="D3354" s="502"/>
    </row>
    <row r="3355" spans="1:4" x14ac:dyDescent="0.2">
      <c r="A3355" s="502"/>
      <c r="B3355" s="502"/>
      <c r="C3355" s="22"/>
      <c r="D3355" s="502"/>
    </row>
    <row r="3356" spans="1:4" x14ac:dyDescent="0.2">
      <c r="A3356" s="502"/>
      <c r="B3356" s="502"/>
      <c r="C3356" s="22"/>
      <c r="D3356" s="502"/>
    </row>
    <row r="3357" spans="1:4" x14ac:dyDescent="0.2">
      <c r="A3357" s="502"/>
      <c r="B3357" s="502"/>
      <c r="C3357" s="22"/>
      <c r="D3357" s="502"/>
    </row>
    <row r="3358" spans="1:4" x14ac:dyDescent="0.2">
      <c r="A3358" s="502"/>
      <c r="B3358" s="502"/>
      <c r="C3358" s="22"/>
      <c r="D3358" s="502"/>
    </row>
    <row r="3359" spans="1:4" x14ac:dyDescent="0.2">
      <c r="A3359" s="502"/>
      <c r="B3359" s="502"/>
      <c r="C3359" s="22"/>
      <c r="D3359" s="502"/>
    </row>
    <row r="3360" spans="1:4" x14ac:dyDescent="0.2">
      <c r="A3360" s="502"/>
      <c r="B3360" s="502"/>
      <c r="C3360" s="22"/>
      <c r="D3360" s="502"/>
    </row>
    <row r="3361" spans="1:4" x14ac:dyDescent="0.2">
      <c r="A3361" s="502"/>
      <c r="B3361" s="502"/>
      <c r="C3361" s="22"/>
      <c r="D3361" s="502"/>
    </row>
    <row r="3362" spans="1:4" x14ac:dyDescent="0.2">
      <c r="A3362" s="502"/>
      <c r="B3362" s="502"/>
      <c r="C3362" s="22"/>
      <c r="D3362" s="502"/>
    </row>
    <row r="3363" spans="1:4" x14ac:dyDescent="0.2">
      <c r="A3363" s="502"/>
      <c r="B3363" s="502"/>
      <c r="C3363" s="22"/>
      <c r="D3363" s="502"/>
    </row>
    <row r="3364" spans="1:4" x14ac:dyDescent="0.2">
      <c r="A3364" s="502"/>
      <c r="B3364" s="502"/>
      <c r="C3364" s="22"/>
      <c r="D3364" s="502"/>
    </row>
    <row r="3365" spans="1:4" x14ac:dyDescent="0.2">
      <c r="A3365" s="502"/>
      <c r="B3365" s="502"/>
      <c r="C3365" s="22"/>
      <c r="D3365" s="502"/>
    </row>
    <row r="3366" spans="1:4" x14ac:dyDescent="0.2">
      <c r="A3366" s="502"/>
      <c r="B3366" s="502"/>
      <c r="C3366" s="22"/>
      <c r="D3366" s="502"/>
    </row>
    <row r="3367" spans="1:4" x14ac:dyDescent="0.2">
      <c r="A3367" s="502"/>
      <c r="B3367" s="502"/>
      <c r="C3367" s="22"/>
      <c r="D3367" s="502"/>
    </row>
    <row r="3368" spans="1:4" x14ac:dyDescent="0.2">
      <c r="A3368" s="502"/>
      <c r="B3368" s="502"/>
      <c r="C3368" s="22"/>
      <c r="D3368" s="502"/>
    </row>
    <row r="3369" spans="1:4" x14ac:dyDescent="0.2">
      <c r="A3369" s="502"/>
      <c r="B3369" s="502"/>
      <c r="C3369" s="22"/>
      <c r="D3369" s="502"/>
    </row>
    <row r="3370" spans="1:4" x14ac:dyDescent="0.2">
      <c r="A3370" s="502"/>
      <c r="B3370" s="502"/>
      <c r="C3370" s="22"/>
      <c r="D3370" s="502"/>
    </row>
    <row r="3371" spans="1:4" x14ac:dyDescent="0.2">
      <c r="A3371" s="502"/>
      <c r="B3371" s="502"/>
      <c r="C3371" s="22"/>
      <c r="D3371" s="502"/>
    </row>
    <row r="3372" spans="1:4" x14ac:dyDescent="0.2">
      <c r="A3372" s="502"/>
      <c r="B3372" s="502"/>
      <c r="C3372" s="22"/>
      <c r="D3372" s="502"/>
    </row>
    <row r="3373" spans="1:4" x14ac:dyDescent="0.2">
      <c r="A3373" s="502"/>
      <c r="B3373" s="502"/>
      <c r="C3373" s="22"/>
      <c r="D3373" s="502"/>
    </row>
    <row r="3374" spans="1:4" x14ac:dyDescent="0.2">
      <c r="A3374" s="502"/>
      <c r="B3374" s="502"/>
      <c r="C3374" s="22"/>
      <c r="D3374" s="502"/>
    </row>
    <row r="3375" spans="1:4" x14ac:dyDescent="0.2">
      <c r="A3375" s="502"/>
      <c r="B3375" s="502"/>
      <c r="C3375" s="22"/>
      <c r="D3375" s="502"/>
    </row>
    <row r="3376" spans="1:4" x14ac:dyDescent="0.2">
      <c r="A3376" s="502"/>
      <c r="B3376" s="502"/>
      <c r="C3376" s="22"/>
      <c r="D3376" s="502"/>
    </row>
    <row r="3377" spans="1:4" x14ac:dyDescent="0.2">
      <c r="A3377" s="502"/>
      <c r="B3377" s="502"/>
      <c r="C3377" s="22"/>
      <c r="D3377" s="502"/>
    </row>
    <row r="3378" spans="1:4" x14ac:dyDescent="0.2">
      <c r="A3378" s="502"/>
      <c r="B3378" s="502"/>
      <c r="C3378" s="22"/>
      <c r="D3378" s="502"/>
    </row>
    <row r="3379" spans="1:4" x14ac:dyDescent="0.2">
      <c r="A3379" s="502"/>
      <c r="B3379" s="502"/>
      <c r="C3379" s="22"/>
      <c r="D3379" s="502"/>
    </row>
    <row r="3380" spans="1:4" x14ac:dyDescent="0.2">
      <c r="A3380" s="502"/>
      <c r="B3380" s="502"/>
      <c r="C3380" s="22"/>
      <c r="D3380" s="502"/>
    </row>
    <row r="3381" spans="1:4" x14ac:dyDescent="0.2">
      <c r="A3381" s="502"/>
      <c r="B3381" s="502"/>
      <c r="C3381" s="22"/>
      <c r="D3381" s="502"/>
    </row>
    <row r="3382" spans="1:4" x14ac:dyDescent="0.2">
      <c r="A3382" s="502"/>
      <c r="B3382" s="502"/>
      <c r="C3382" s="22"/>
      <c r="D3382" s="502"/>
    </row>
    <row r="3383" spans="1:4" x14ac:dyDescent="0.2">
      <c r="A3383" s="502"/>
      <c r="B3383" s="502"/>
      <c r="C3383" s="22"/>
      <c r="D3383" s="502"/>
    </row>
    <row r="3384" spans="1:4" x14ac:dyDescent="0.2">
      <c r="A3384" s="502"/>
      <c r="B3384" s="502"/>
      <c r="C3384" s="22"/>
      <c r="D3384" s="502"/>
    </row>
    <row r="3385" spans="1:4" x14ac:dyDescent="0.2">
      <c r="A3385" s="502"/>
      <c r="B3385" s="502"/>
      <c r="C3385" s="22"/>
      <c r="D3385" s="502"/>
    </row>
    <row r="3386" spans="1:4" x14ac:dyDescent="0.2">
      <c r="A3386" s="502"/>
      <c r="B3386" s="502"/>
      <c r="C3386" s="22"/>
      <c r="D3386" s="502"/>
    </row>
    <row r="3387" spans="1:4" x14ac:dyDescent="0.2">
      <c r="A3387" s="502"/>
      <c r="B3387" s="502"/>
      <c r="C3387" s="22"/>
      <c r="D3387" s="502"/>
    </row>
    <row r="3388" spans="1:4" x14ac:dyDescent="0.2">
      <c r="A3388" s="502"/>
      <c r="B3388" s="502"/>
      <c r="C3388" s="22"/>
      <c r="D3388" s="502"/>
    </row>
    <row r="3389" spans="1:4" x14ac:dyDescent="0.2">
      <c r="A3389" s="502"/>
      <c r="B3389" s="502"/>
      <c r="C3389" s="22"/>
      <c r="D3389" s="502"/>
    </row>
    <row r="3390" spans="1:4" x14ac:dyDescent="0.2">
      <c r="A3390" s="502"/>
      <c r="B3390" s="502"/>
      <c r="C3390" s="22"/>
      <c r="D3390" s="502"/>
    </row>
    <row r="3391" spans="1:4" x14ac:dyDescent="0.2">
      <c r="A3391" s="502"/>
      <c r="B3391" s="502"/>
      <c r="C3391" s="22"/>
      <c r="D3391" s="502"/>
    </row>
    <row r="3392" spans="1:4" x14ac:dyDescent="0.2">
      <c r="A3392" s="502"/>
      <c r="B3392" s="502"/>
      <c r="C3392" s="22"/>
      <c r="D3392" s="502"/>
    </row>
    <row r="3393" spans="1:4" x14ac:dyDescent="0.2">
      <c r="A3393" s="502"/>
      <c r="B3393" s="502"/>
      <c r="C3393" s="22"/>
      <c r="D3393" s="502"/>
    </row>
    <row r="3394" spans="1:4" x14ac:dyDescent="0.2">
      <c r="A3394" s="502"/>
      <c r="B3394" s="502"/>
      <c r="C3394" s="22"/>
      <c r="D3394" s="502"/>
    </row>
    <row r="3395" spans="1:4" x14ac:dyDescent="0.2">
      <c r="A3395" s="502"/>
      <c r="B3395" s="502"/>
      <c r="C3395" s="22"/>
      <c r="D3395" s="502"/>
    </row>
    <row r="3396" spans="1:4" x14ac:dyDescent="0.2">
      <c r="A3396" s="502"/>
      <c r="B3396" s="502"/>
      <c r="C3396" s="22"/>
      <c r="D3396" s="502"/>
    </row>
    <row r="3397" spans="1:4" x14ac:dyDescent="0.2">
      <c r="A3397" s="502"/>
      <c r="B3397" s="502"/>
      <c r="C3397" s="22"/>
      <c r="D3397" s="502"/>
    </row>
    <row r="3398" spans="1:4" x14ac:dyDescent="0.2">
      <c r="A3398" s="502"/>
      <c r="B3398" s="502"/>
      <c r="C3398" s="22"/>
      <c r="D3398" s="502"/>
    </row>
    <row r="3399" spans="1:4" x14ac:dyDescent="0.2">
      <c r="A3399" s="502"/>
      <c r="B3399" s="502"/>
      <c r="C3399" s="22"/>
      <c r="D3399" s="502"/>
    </row>
    <row r="3400" spans="1:4" x14ac:dyDescent="0.2">
      <c r="A3400" s="502"/>
      <c r="B3400" s="502"/>
      <c r="C3400" s="22"/>
      <c r="D3400" s="502"/>
    </row>
    <row r="3401" spans="1:4" x14ac:dyDescent="0.2">
      <c r="A3401" s="502"/>
      <c r="B3401" s="502"/>
      <c r="C3401" s="22"/>
      <c r="D3401" s="502"/>
    </row>
    <row r="3402" spans="1:4" x14ac:dyDescent="0.2">
      <c r="A3402" s="502"/>
      <c r="B3402" s="502"/>
      <c r="C3402" s="22"/>
      <c r="D3402" s="502"/>
    </row>
    <row r="3403" spans="1:4" x14ac:dyDescent="0.2">
      <c r="A3403" s="502"/>
      <c r="B3403" s="502"/>
      <c r="C3403" s="22"/>
      <c r="D3403" s="502"/>
    </row>
    <row r="3404" spans="1:4" x14ac:dyDescent="0.2">
      <c r="A3404" s="502"/>
      <c r="B3404" s="502"/>
      <c r="C3404" s="22"/>
      <c r="D3404" s="502"/>
    </row>
    <row r="3405" spans="1:4" x14ac:dyDescent="0.2">
      <c r="A3405" s="502"/>
      <c r="B3405" s="502"/>
      <c r="C3405" s="22"/>
      <c r="D3405" s="502"/>
    </row>
    <row r="3406" spans="1:4" x14ac:dyDescent="0.2">
      <c r="A3406" s="502"/>
      <c r="B3406" s="502"/>
      <c r="C3406" s="22"/>
      <c r="D3406" s="502"/>
    </row>
    <row r="3407" spans="1:4" x14ac:dyDescent="0.2">
      <c r="A3407" s="502"/>
      <c r="B3407" s="502"/>
      <c r="C3407" s="22"/>
      <c r="D3407" s="502"/>
    </row>
    <row r="3408" spans="1:4" x14ac:dyDescent="0.2">
      <c r="A3408" s="502"/>
      <c r="B3408" s="502"/>
      <c r="C3408" s="22"/>
      <c r="D3408" s="502"/>
    </row>
    <row r="3409" spans="1:4" x14ac:dyDescent="0.2">
      <c r="A3409" s="502"/>
      <c r="B3409" s="502"/>
      <c r="C3409" s="22"/>
      <c r="D3409" s="502"/>
    </row>
    <row r="3410" spans="1:4" x14ac:dyDescent="0.2">
      <c r="A3410" s="502"/>
      <c r="B3410" s="502"/>
      <c r="C3410" s="22"/>
      <c r="D3410" s="502"/>
    </row>
    <row r="3411" spans="1:4" x14ac:dyDescent="0.2">
      <c r="A3411" s="502"/>
      <c r="B3411" s="502"/>
      <c r="C3411" s="22"/>
      <c r="D3411" s="502"/>
    </row>
    <row r="3412" spans="1:4" x14ac:dyDescent="0.2">
      <c r="A3412" s="502"/>
      <c r="B3412" s="502"/>
      <c r="C3412" s="22"/>
      <c r="D3412" s="502"/>
    </row>
    <row r="3413" spans="1:4" x14ac:dyDescent="0.2">
      <c r="A3413" s="502"/>
      <c r="B3413" s="502"/>
      <c r="C3413" s="22"/>
      <c r="D3413" s="502"/>
    </row>
    <row r="3414" spans="1:4" x14ac:dyDescent="0.2">
      <c r="A3414" s="502"/>
      <c r="B3414" s="502"/>
      <c r="C3414" s="22"/>
      <c r="D3414" s="502"/>
    </row>
    <row r="3415" spans="1:4" x14ac:dyDescent="0.2">
      <c r="A3415" s="502"/>
      <c r="B3415" s="502"/>
      <c r="C3415" s="22"/>
      <c r="D3415" s="502"/>
    </row>
    <row r="3416" spans="1:4" x14ac:dyDescent="0.2">
      <c r="A3416" s="502"/>
      <c r="B3416" s="502"/>
      <c r="C3416" s="22"/>
      <c r="D3416" s="502"/>
    </row>
    <row r="3417" spans="1:4" x14ac:dyDescent="0.2">
      <c r="A3417" s="502"/>
      <c r="B3417" s="502"/>
      <c r="C3417" s="22"/>
      <c r="D3417" s="502"/>
    </row>
    <row r="3418" spans="1:4" x14ac:dyDescent="0.2">
      <c r="A3418" s="502"/>
      <c r="B3418" s="502"/>
      <c r="C3418" s="22"/>
      <c r="D3418" s="502"/>
    </row>
    <row r="3419" spans="1:4" x14ac:dyDescent="0.2">
      <c r="A3419" s="502"/>
      <c r="B3419" s="502"/>
      <c r="C3419" s="22"/>
      <c r="D3419" s="502"/>
    </row>
    <row r="3420" spans="1:4" x14ac:dyDescent="0.2">
      <c r="A3420" s="502"/>
      <c r="B3420" s="502"/>
      <c r="C3420" s="22"/>
      <c r="D3420" s="502"/>
    </row>
    <row r="3421" spans="1:4" x14ac:dyDescent="0.2">
      <c r="A3421" s="502"/>
      <c r="B3421" s="502"/>
      <c r="C3421" s="22"/>
      <c r="D3421" s="502"/>
    </row>
    <row r="3422" spans="1:4" x14ac:dyDescent="0.2">
      <c r="A3422" s="502"/>
      <c r="B3422" s="502"/>
      <c r="C3422" s="22"/>
      <c r="D3422" s="502"/>
    </row>
    <row r="3423" spans="1:4" x14ac:dyDescent="0.2">
      <c r="A3423" s="502"/>
      <c r="B3423" s="502"/>
      <c r="C3423" s="22"/>
      <c r="D3423" s="502"/>
    </row>
    <row r="3424" spans="1:4" x14ac:dyDescent="0.2">
      <c r="A3424" s="502"/>
      <c r="B3424" s="502"/>
      <c r="C3424" s="22"/>
      <c r="D3424" s="502"/>
    </row>
    <row r="3425" spans="1:4" x14ac:dyDescent="0.2">
      <c r="A3425" s="502"/>
      <c r="B3425" s="502"/>
      <c r="C3425" s="22"/>
      <c r="D3425" s="502"/>
    </row>
    <row r="3426" spans="1:4" x14ac:dyDescent="0.2">
      <c r="A3426" s="502"/>
      <c r="B3426" s="502"/>
      <c r="C3426" s="22"/>
      <c r="D3426" s="502"/>
    </row>
    <row r="3427" spans="1:4" x14ac:dyDescent="0.2">
      <c r="A3427" s="502"/>
      <c r="B3427" s="502"/>
      <c r="C3427" s="22"/>
      <c r="D3427" s="502"/>
    </row>
    <row r="3428" spans="1:4" x14ac:dyDescent="0.2">
      <c r="A3428" s="502"/>
      <c r="B3428" s="502"/>
      <c r="C3428" s="22"/>
      <c r="D3428" s="502"/>
    </row>
    <row r="3429" spans="1:4" x14ac:dyDescent="0.2">
      <c r="A3429" s="502"/>
      <c r="B3429" s="502"/>
      <c r="C3429" s="22"/>
      <c r="D3429" s="502"/>
    </row>
    <row r="3430" spans="1:4" x14ac:dyDescent="0.2">
      <c r="A3430" s="502"/>
      <c r="B3430" s="502"/>
      <c r="C3430" s="22"/>
      <c r="D3430" s="502"/>
    </row>
    <row r="3431" spans="1:4" x14ac:dyDescent="0.2">
      <c r="A3431" s="502"/>
      <c r="B3431" s="502"/>
      <c r="C3431" s="22"/>
      <c r="D3431" s="502"/>
    </row>
    <row r="3432" spans="1:4" x14ac:dyDescent="0.2">
      <c r="A3432" s="502"/>
      <c r="B3432" s="502"/>
      <c r="C3432" s="22"/>
      <c r="D3432" s="502"/>
    </row>
    <row r="3433" spans="1:4" x14ac:dyDescent="0.2">
      <c r="A3433" s="502"/>
      <c r="B3433" s="502"/>
      <c r="C3433" s="22"/>
      <c r="D3433" s="502"/>
    </row>
    <row r="3434" spans="1:4" x14ac:dyDescent="0.2">
      <c r="A3434" s="502"/>
      <c r="B3434" s="502"/>
      <c r="C3434" s="22"/>
      <c r="D3434" s="502"/>
    </row>
    <row r="3435" spans="1:4" x14ac:dyDescent="0.2">
      <c r="A3435" s="502"/>
      <c r="B3435" s="502"/>
      <c r="C3435" s="22"/>
      <c r="D3435" s="502"/>
    </row>
    <row r="3436" spans="1:4" x14ac:dyDescent="0.2">
      <c r="A3436" s="502"/>
      <c r="B3436" s="502"/>
      <c r="C3436" s="22"/>
      <c r="D3436" s="502"/>
    </row>
    <row r="3437" spans="1:4" x14ac:dyDescent="0.2">
      <c r="A3437" s="502"/>
      <c r="B3437" s="502"/>
      <c r="C3437" s="22"/>
      <c r="D3437" s="502"/>
    </row>
    <row r="3438" spans="1:4" x14ac:dyDescent="0.2">
      <c r="A3438" s="502"/>
      <c r="B3438" s="502"/>
      <c r="C3438" s="22"/>
      <c r="D3438" s="502"/>
    </row>
    <row r="3439" spans="1:4" x14ac:dyDescent="0.2">
      <c r="A3439" s="502"/>
      <c r="B3439" s="502"/>
      <c r="C3439" s="22"/>
      <c r="D3439" s="502"/>
    </row>
    <row r="3440" spans="1:4" x14ac:dyDescent="0.2">
      <c r="A3440" s="502"/>
      <c r="B3440" s="502"/>
      <c r="C3440" s="22"/>
      <c r="D3440" s="502"/>
    </row>
    <row r="3441" spans="1:4" x14ac:dyDescent="0.2">
      <c r="A3441" s="502"/>
      <c r="B3441" s="502"/>
      <c r="C3441" s="22"/>
      <c r="D3441" s="502"/>
    </row>
    <row r="3442" spans="1:4" x14ac:dyDescent="0.2">
      <c r="A3442" s="502"/>
      <c r="B3442" s="502"/>
      <c r="C3442" s="22"/>
      <c r="D3442" s="502"/>
    </row>
    <row r="3443" spans="1:4" x14ac:dyDescent="0.2">
      <c r="A3443" s="502"/>
      <c r="B3443" s="502"/>
      <c r="C3443" s="22"/>
      <c r="D3443" s="502"/>
    </row>
    <row r="3444" spans="1:4" x14ac:dyDescent="0.2">
      <c r="A3444" s="502"/>
      <c r="B3444" s="502"/>
      <c r="C3444" s="22"/>
      <c r="D3444" s="502"/>
    </row>
    <row r="3445" spans="1:4" x14ac:dyDescent="0.2">
      <c r="A3445" s="502"/>
      <c r="B3445" s="502"/>
      <c r="C3445" s="22"/>
      <c r="D3445" s="502"/>
    </row>
    <row r="3446" spans="1:4" x14ac:dyDescent="0.2">
      <c r="A3446" s="502"/>
      <c r="B3446" s="502"/>
      <c r="C3446" s="22"/>
      <c r="D3446" s="502"/>
    </row>
    <row r="3447" spans="1:4" x14ac:dyDescent="0.2">
      <c r="A3447" s="502"/>
      <c r="B3447" s="502"/>
      <c r="C3447" s="22"/>
      <c r="D3447" s="502"/>
    </row>
    <row r="3448" spans="1:4" x14ac:dyDescent="0.2">
      <c r="A3448" s="502"/>
      <c r="B3448" s="502"/>
      <c r="C3448" s="22"/>
      <c r="D3448" s="502"/>
    </row>
    <row r="3449" spans="1:4" x14ac:dyDescent="0.2">
      <c r="A3449" s="502"/>
      <c r="B3449" s="502"/>
      <c r="C3449" s="22"/>
      <c r="D3449" s="502"/>
    </row>
    <row r="3450" spans="1:4" x14ac:dyDescent="0.2">
      <c r="A3450" s="502"/>
      <c r="B3450" s="502"/>
      <c r="C3450" s="22"/>
      <c r="D3450" s="502"/>
    </row>
    <row r="3451" spans="1:4" x14ac:dyDescent="0.2">
      <c r="A3451" s="502"/>
      <c r="B3451" s="502"/>
      <c r="C3451" s="22"/>
      <c r="D3451" s="502"/>
    </row>
    <row r="3452" spans="1:4" x14ac:dyDescent="0.2">
      <c r="A3452" s="502"/>
      <c r="B3452" s="502"/>
      <c r="C3452" s="22"/>
      <c r="D3452" s="502"/>
    </row>
    <row r="3453" spans="1:4" x14ac:dyDescent="0.2">
      <c r="A3453" s="502"/>
      <c r="B3453" s="502"/>
      <c r="C3453" s="22"/>
      <c r="D3453" s="502"/>
    </row>
    <row r="3454" spans="1:4" x14ac:dyDescent="0.2">
      <c r="A3454" s="502"/>
      <c r="B3454" s="502"/>
      <c r="C3454" s="22"/>
      <c r="D3454" s="502"/>
    </row>
    <row r="3455" spans="1:4" x14ac:dyDescent="0.2">
      <c r="A3455" s="502"/>
      <c r="B3455" s="502"/>
      <c r="C3455" s="22"/>
      <c r="D3455" s="502"/>
    </row>
    <row r="3456" spans="1:4" x14ac:dyDescent="0.2">
      <c r="A3456" s="502"/>
      <c r="B3456" s="502"/>
      <c r="C3456" s="22"/>
      <c r="D3456" s="502"/>
    </row>
    <row r="3457" spans="1:4" x14ac:dyDescent="0.2">
      <c r="A3457" s="502"/>
      <c r="B3457" s="502"/>
      <c r="C3457" s="22"/>
      <c r="D3457" s="502"/>
    </row>
    <row r="3458" spans="1:4" x14ac:dyDescent="0.2">
      <c r="A3458" s="502"/>
      <c r="B3458" s="502"/>
      <c r="C3458" s="22"/>
      <c r="D3458" s="502"/>
    </row>
    <row r="3459" spans="1:4" x14ac:dyDescent="0.2">
      <c r="A3459" s="502"/>
      <c r="B3459" s="502"/>
      <c r="C3459" s="22"/>
      <c r="D3459" s="502"/>
    </row>
    <row r="3460" spans="1:4" x14ac:dyDescent="0.2">
      <c r="A3460" s="502"/>
      <c r="B3460" s="502"/>
      <c r="C3460" s="22"/>
      <c r="D3460" s="502"/>
    </row>
    <row r="3461" spans="1:4" x14ac:dyDescent="0.2">
      <c r="A3461" s="502"/>
      <c r="B3461" s="502"/>
      <c r="C3461" s="22"/>
      <c r="D3461" s="502"/>
    </row>
    <row r="3462" spans="1:4" x14ac:dyDescent="0.2">
      <c r="A3462" s="502"/>
      <c r="B3462" s="502"/>
      <c r="C3462" s="22"/>
      <c r="D3462" s="502"/>
    </row>
    <row r="3463" spans="1:4" x14ac:dyDescent="0.2">
      <c r="A3463" s="502"/>
      <c r="B3463" s="502"/>
      <c r="C3463" s="22"/>
      <c r="D3463" s="502"/>
    </row>
    <row r="3464" spans="1:4" x14ac:dyDescent="0.2">
      <c r="A3464" s="502"/>
      <c r="B3464" s="502"/>
      <c r="C3464" s="22"/>
      <c r="D3464" s="502"/>
    </row>
    <row r="3465" spans="1:4" x14ac:dyDescent="0.2">
      <c r="A3465" s="502"/>
      <c r="B3465" s="502"/>
      <c r="C3465" s="22"/>
      <c r="D3465" s="502"/>
    </row>
    <row r="3466" spans="1:4" x14ac:dyDescent="0.2">
      <c r="A3466" s="502"/>
      <c r="B3466" s="502"/>
      <c r="C3466" s="22"/>
      <c r="D3466" s="502"/>
    </row>
    <row r="3467" spans="1:4" x14ac:dyDescent="0.2">
      <c r="A3467" s="502"/>
      <c r="B3467" s="502"/>
      <c r="C3467" s="22"/>
      <c r="D3467" s="502"/>
    </row>
    <row r="3468" spans="1:4" x14ac:dyDescent="0.2">
      <c r="A3468" s="502"/>
      <c r="B3468" s="502"/>
      <c r="C3468" s="22"/>
      <c r="D3468" s="502"/>
    </row>
    <row r="3469" spans="1:4" x14ac:dyDescent="0.2">
      <c r="A3469" s="502"/>
      <c r="B3469" s="502"/>
      <c r="C3469" s="22"/>
      <c r="D3469" s="502"/>
    </row>
    <row r="3470" spans="1:4" x14ac:dyDescent="0.2">
      <c r="A3470" s="502"/>
      <c r="B3470" s="502"/>
      <c r="C3470" s="22"/>
      <c r="D3470" s="502"/>
    </row>
    <row r="3471" spans="1:4" x14ac:dyDescent="0.2">
      <c r="A3471" s="502"/>
      <c r="B3471" s="502"/>
      <c r="C3471" s="22"/>
      <c r="D3471" s="502"/>
    </row>
    <row r="3472" spans="1:4" x14ac:dyDescent="0.2">
      <c r="A3472" s="502"/>
      <c r="B3472" s="502"/>
      <c r="C3472" s="22"/>
      <c r="D3472" s="502"/>
    </row>
    <row r="3473" spans="1:4" x14ac:dyDescent="0.2">
      <c r="A3473" s="502"/>
      <c r="B3473" s="502"/>
      <c r="C3473" s="22"/>
      <c r="D3473" s="502"/>
    </row>
    <row r="3474" spans="1:4" x14ac:dyDescent="0.2">
      <c r="A3474" s="502"/>
      <c r="B3474" s="502"/>
      <c r="C3474" s="22"/>
      <c r="D3474" s="502"/>
    </row>
    <row r="3475" spans="1:4" x14ac:dyDescent="0.2">
      <c r="A3475" s="502"/>
      <c r="B3475" s="502"/>
      <c r="C3475" s="22"/>
      <c r="D3475" s="502"/>
    </row>
    <row r="3476" spans="1:4" x14ac:dyDescent="0.2">
      <c r="A3476" s="502"/>
      <c r="B3476" s="502"/>
      <c r="C3476" s="22"/>
      <c r="D3476" s="502"/>
    </row>
    <row r="3477" spans="1:4" x14ac:dyDescent="0.2">
      <c r="A3477" s="502"/>
      <c r="B3477" s="502"/>
      <c r="C3477" s="22"/>
      <c r="D3477" s="502"/>
    </row>
    <row r="3478" spans="1:4" x14ac:dyDescent="0.2">
      <c r="A3478" s="502"/>
      <c r="B3478" s="502"/>
      <c r="C3478" s="22"/>
      <c r="D3478" s="502"/>
    </row>
    <row r="3479" spans="1:4" x14ac:dyDescent="0.2">
      <c r="A3479" s="502"/>
      <c r="B3479" s="502"/>
      <c r="C3479" s="22"/>
      <c r="D3479" s="502"/>
    </row>
    <row r="3480" spans="1:4" x14ac:dyDescent="0.2">
      <c r="A3480" s="502"/>
      <c r="B3480" s="502"/>
      <c r="C3480" s="22"/>
      <c r="D3480" s="502"/>
    </row>
    <row r="3481" spans="1:4" x14ac:dyDescent="0.2">
      <c r="A3481" s="502"/>
      <c r="B3481" s="502"/>
      <c r="C3481" s="22"/>
      <c r="D3481" s="502"/>
    </row>
    <row r="3482" spans="1:4" x14ac:dyDescent="0.2">
      <c r="A3482" s="502"/>
      <c r="B3482" s="502"/>
      <c r="C3482" s="22"/>
      <c r="D3482" s="502"/>
    </row>
    <row r="3483" spans="1:4" x14ac:dyDescent="0.2">
      <c r="A3483" s="502"/>
      <c r="B3483" s="502"/>
      <c r="C3483" s="22"/>
      <c r="D3483" s="502"/>
    </row>
    <row r="3484" spans="1:4" x14ac:dyDescent="0.2">
      <c r="A3484" s="502"/>
      <c r="B3484" s="502"/>
      <c r="C3484" s="22"/>
      <c r="D3484" s="502"/>
    </row>
    <row r="3485" spans="1:4" x14ac:dyDescent="0.2">
      <c r="A3485" s="502"/>
      <c r="B3485" s="502"/>
      <c r="C3485" s="22"/>
      <c r="D3485" s="502"/>
    </row>
    <row r="3486" spans="1:4" x14ac:dyDescent="0.2">
      <c r="A3486" s="502"/>
      <c r="B3486" s="502"/>
      <c r="C3486" s="22"/>
      <c r="D3486" s="502"/>
    </row>
    <row r="3487" spans="1:4" x14ac:dyDescent="0.2">
      <c r="A3487" s="502"/>
      <c r="B3487" s="502"/>
      <c r="C3487" s="22"/>
      <c r="D3487" s="502"/>
    </row>
    <row r="3488" spans="1:4" x14ac:dyDescent="0.2">
      <c r="A3488" s="502"/>
      <c r="B3488" s="502"/>
      <c r="C3488" s="22"/>
      <c r="D3488" s="502"/>
    </row>
    <row r="3489" spans="1:4" x14ac:dyDescent="0.2">
      <c r="A3489" s="502"/>
      <c r="B3489" s="502"/>
      <c r="C3489" s="22"/>
      <c r="D3489" s="502"/>
    </row>
    <row r="3490" spans="1:4" x14ac:dyDescent="0.2">
      <c r="A3490" s="502"/>
      <c r="B3490" s="502"/>
      <c r="C3490" s="22"/>
      <c r="D3490" s="502"/>
    </row>
    <row r="3491" spans="1:4" x14ac:dyDescent="0.2">
      <c r="A3491" s="502"/>
      <c r="B3491" s="502"/>
      <c r="C3491" s="22"/>
      <c r="D3491" s="502"/>
    </row>
    <row r="3492" spans="1:4" x14ac:dyDescent="0.2">
      <c r="A3492" s="502"/>
      <c r="B3492" s="502"/>
      <c r="C3492" s="22"/>
      <c r="D3492" s="502"/>
    </row>
    <row r="3493" spans="1:4" x14ac:dyDescent="0.2">
      <c r="A3493" s="502"/>
      <c r="B3493" s="502"/>
      <c r="C3493" s="22"/>
      <c r="D3493" s="502"/>
    </row>
    <row r="3494" spans="1:4" x14ac:dyDescent="0.2">
      <c r="A3494" s="502"/>
      <c r="B3494" s="502"/>
      <c r="C3494" s="22"/>
      <c r="D3494" s="502"/>
    </row>
    <row r="3495" spans="1:4" x14ac:dyDescent="0.2">
      <c r="A3495" s="502"/>
      <c r="B3495" s="502"/>
      <c r="C3495" s="22"/>
      <c r="D3495" s="502"/>
    </row>
    <row r="3496" spans="1:4" x14ac:dyDescent="0.2">
      <c r="A3496" s="502"/>
      <c r="B3496" s="502"/>
      <c r="C3496" s="22"/>
      <c r="D3496" s="502"/>
    </row>
    <row r="3497" spans="1:4" x14ac:dyDescent="0.2">
      <c r="A3497" s="502"/>
      <c r="B3497" s="502"/>
      <c r="C3497" s="22"/>
      <c r="D3497" s="502"/>
    </row>
    <row r="3498" spans="1:4" x14ac:dyDescent="0.2">
      <c r="A3498" s="502"/>
      <c r="B3498" s="502"/>
      <c r="C3498" s="22"/>
      <c r="D3498" s="502"/>
    </row>
    <row r="3499" spans="1:4" x14ac:dyDescent="0.2">
      <c r="A3499" s="502"/>
      <c r="B3499" s="502"/>
      <c r="C3499" s="22"/>
      <c r="D3499" s="502"/>
    </row>
    <row r="3500" spans="1:4" x14ac:dyDescent="0.2">
      <c r="A3500" s="502"/>
      <c r="B3500" s="502"/>
      <c r="C3500" s="22"/>
      <c r="D3500" s="502"/>
    </row>
    <row r="3501" spans="1:4" x14ac:dyDescent="0.2">
      <c r="A3501" s="502"/>
      <c r="B3501" s="502"/>
      <c r="C3501" s="22"/>
      <c r="D3501" s="502"/>
    </row>
    <row r="3502" spans="1:4" x14ac:dyDescent="0.2">
      <c r="A3502" s="502"/>
      <c r="B3502" s="502"/>
      <c r="C3502" s="22"/>
      <c r="D3502" s="502"/>
    </row>
    <row r="3503" spans="1:4" x14ac:dyDescent="0.2">
      <c r="A3503" s="502"/>
      <c r="B3503" s="502"/>
      <c r="C3503" s="22"/>
      <c r="D3503" s="502"/>
    </row>
    <row r="3504" spans="1:4" x14ac:dyDescent="0.2">
      <c r="A3504" s="502"/>
      <c r="B3504" s="502"/>
      <c r="C3504" s="22"/>
      <c r="D3504" s="502"/>
    </row>
    <row r="3505" spans="1:4" x14ac:dyDescent="0.2">
      <c r="A3505" s="502"/>
      <c r="B3505" s="502"/>
      <c r="C3505" s="22"/>
      <c r="D3505" s="502"/>
    </row>
    <row r="3506" spans="1:4" x14ac:dyDescent="0.2">
      <c r="A3506" s="502"/>
      <c r="B3506" s="502"/>
      <c r="C3506" s="22"/>
      <c r="D3506" s="502"/>
    </row>
    <row r="3507" spans="1:4" x14ac:dyDescent="0.2">
      <c r="A3507" s="502"/>
      <c r="B3507" s="502"/>
      <c r="C3507" s="22"/>
      <c r="D3507" s="502"/>
    </row>
    <row r="3508" spans="1:4" x14ac:dyDescent="0.2">
      <c r="A3508" s="502"/>
      <c r="B3508" s="502"/>
      <c r="C3508" s="22"/>
      <c r="D3508" s="502"/>
    </row>
    <row r="3509" spans="1:4" x14ac:dyDescent="0.2">
      <c r="A3509" s="502"/>
      <c r="B3509" s="502"/>
      <c r="C3509" s="22"/>
      <c r="D3509" s="502"/>
    </row>
    <row r="3510" spans="1:4" x14ac:dyDescent="0.2">
      <c r="A3510" s="502"/>
      <c r="B3510" s="502"/>
      <c r="C3510" s="22"/>
      <c r="D3510" s="502"/>
    </row>
    <row r="3511" spans="1:4" x14ac:dyDescent="0.2">
      <c r="A3511" s="502"/>
      <c r="B3511" s="502"/>
      <c r="C3511" s="22"/>
      <c r="D3511" s="502"/>
    </row>
    <row r="3512" spans="1:4" x14ac:dyDescent="0.2">
      <c r="A3512" s="502"/>
      <c r="B3512" s="502"/>
      <c r="C3512" s="22"/>
      <c r="D3512" s="502"/>
    </row>
    <row r="3513" spans="1:4" x14ac:dyDescent="0.2">
      <c r="A3513" s="502"/>
      <c r="B3513" s="502"/>
      <c r="C3513" s="22"/>
      <c r="D3513" s="502"/>
    </row>
    <row r="3514" spans="1:4" x14ac:dyDescent="0.2">
      <c r="A3514" s="502"/>
      <c r="B3514" s="502"/>
      <c r="C3514" s="22"/>
      <c r="D3514" s="502"/>
    </row>
    <row r="3515" spans="1:4" x14ac:dyDescent="0.2">
      <c r="A3515" s="502"/>
      <c r="B3515" s="502"/>
      <c r="C3515" s="22"/>
      <c r="D3515" s="502"/>
    </row>
    <row r="3516" spans="1:4" x14ac:dyDescent="0.2">
      <c r="A3516" s="502"/>
      <c r="B3516" s="502"/>
      <c r="C3516" s="22"/>
      <c r="D3516" s="502"/>
    </row>
    <row r="3517" spans="1:4" x14ac:dyDescent="0.2">
      <c r="A3517" s="502"/>
      <c r="B3517" s="502"/>
      <c r="C3517" s="22"/>
      <c r="D3517" s="502"/>
    </row>
    <row r="3518" spans="1:4" x14ac:dyDescent="0.2">
      <c r="A3518" s="502"/>
      <c r="B3518" s="502"/>
      <c r="C3518" s="22"/>
      <c r="D3518" s="502"/>
    </row>
    <row r="3519" spans="1:4" x14ac:dyDescent="0.2">
      <c r="A3519" s="502"/>
      <c r="B3519" s="502"/>
      <c r="C3519" s="22"/>
      <c r="D3519" s="502"/>
    </row>
    <row r="3520" spans="1:4" x14ac:dyDescent="0.2">
      <c r="A3520" s="502"/>
      <c r="B3520" s="502"/>
      <c r="C3520" s="22"/>
      <c r="D3520" s="502"/>
    </row>
    <row r="3521" spans="1:4" x14ac:dyDescent="0.2">
      <c r="A3521" s="502"/>
      <c r="B3521" s="502"/>
      <c r="C3521" s="22"/>
      <c r="D3521" s="502"/>
    </row>
    <row r="3522" spans="1:4" x14ac:dyDescent="0.2">
      <c r="A3522" s="502"/>
      <c r="B3522" s="502"/>
      <c r="C3522" s="22"/>
      <c r="D3522" s="502"/>
    </row>
    <row r="3523" spans="1:4" x14ac:dyDescent="0.2">
      <c r="A3523" s="502"/>
      <c r="B3523" s="502"/>
      <c r="C3523" s="22"/>
      <c r="D3523" s="502"/>
    </row>
    <row r="3524" spans="1:4" x14ac:dyDescent="0.2">
      <c r="A3524" s="502"/>
      <c r="B3524" s="502"/>
      <c r="C3524" s="22"/>
      <c r="D3524" s="502"/>
    </row>
    <row r="3525" spans="1:4" x14ac:dyDescent="0.2">
      <c r="A3525" s="502"/>
      <c r="B3525" s="502"/>
      <c r="C3525" s="22"/>
      <c r="D3525" s="502"/>
    </row>
    <row r="3526" spans="1:4" x14ac:dyDescent="0.2">
      <c r="A3526" s="502"/>
      <c r="B3526" s="502"/>
      <c r="C3526" s="22"/>
      <c r="D3526" s="502"/>
    </row>
    <row r="3527" spans="1:4" x14ac:dyDescent="0.2">
      <c r="A3527" s="502"/>
      <c r="B3527" s="502"/>
      <c r="C3527" s="22"/>
      <c r="D3527" s="502"/>
    </row>
    <row r="3528" spans="1:4" x14ac:dyDescent="0.2">
      <c r="A3528" s="502"/>
      <c r="B3528" s="502"/>
      <c r="C3528" s="22"/>
      <c r="D3528" s="502"/>
    </row>
    <row r="3529" spans="1:4" x14ac:dyDescent="0.2">
      <c r="A3529" s="502"/>
      <c r="B3529" s="502"/>
      <c r="C3529" s="22"/>
      <c r="D3529" s="502"/>
    </row>
    <row r="3530" spans="1:4" x14ac:dyDescent="0.2">
      <c r="A3530" s="502"/>
      <c r="B3530" s="502"/>
      <c r="C3530" s="22"/>
      <c r="D3530" s="502"/>
    </row>
    <row r="3531" spans="1:4" x14ac:dyDescent="0.2">
      <c r="A3531" s="502"/>
      <c r="B3531" s="502"/>
      <c r="C3531" s="22"/>
      <c r="D3531" s="502"/>
    </row>
    <row r="3532" spans="1:4" x14ac:dyDescent="0.2">
      <c r="A3532" s="502"/>
      <c r="B3532" s="502"/>
      <c r="C3532" s="22"/>
      <c r="D3532" s="502"/>
    </row>
    <row r="3533" spans="1:4" x14ac:dyDescent="0.2">
      <c r="A3533" s="502"/>
      <c r="B3533" s="502"/>
      <c r="C3533" s="22"/>
      <c r="D3533" s="502"/>
    </row>
    <row r="3534" spans="1:4" x14ac:dyDescent="0.2">
      <c r="A3534" s="502"/>
      <c r="B3534" s="502"/>
      <c r="C3534" s="22"/>
      <c r="D3534" s="502"/>
    </row>
    <row r="3535" spans="1:4" x14ac:dyDescent="0.2">
      <c r="A3535" s="502"/>
      <c r="B3535" s="502"/>
      <c r="C3535" s="22"/>
      <c r="D3535" s="502"/>
    </row>
    <row r="3536" spans="1:4" x14ac:dyDescent="0.2">
      <c r="A3536" s="502"/>
      <c r="B3536" s="502"/>
      <c r="C3536" s="22"/>
      <c r="D3536" s="502"/>
    </row>
    <row r="3537" spans="1:4" x14ac:dyDescent="0.2">
      <c r="A3537" s="502"/>
      <c r="B3537" s="502"/>
      <c r="C3537" s="22"/>
      <c r="D3537" s="502"/>
    </row>
    <row r="3538" spans="1:4" x14ac:dyDescent="0.2">
      <c r="A3538" s="502"/>
      <c r="B3538" s="502"/>
      <c r="C3538" s="22"/>
      <c r="D3538" s="502"/>
    </row>
    <row r="3539" spans="1:4" x14ac:dyDescent="0.2">
      <c r="A3539" s="502"/>
      <c r="B3539" s="502"/>
      <c r="C3539" s="22"/>
      <c r="D3539" s="502"/>
    </row>
    <row r="3540" spans="1:4" x14ac:dyDescent="0.2">
      <c r="A3540" s="502"/>
      <c r="B3540" s="502"/>
      <c r="C3540" s="22"/>
      <c r="D3540" s="502"/>
    </row>
    <row r="3541" spans="1:4" x14ac:dyDescent="0.2">
      <c r="A3541" s="502"/>
      <c r="B3541" s="502"/>
      <c r="C3541" s="22"/>
      <c r="D3541" s="502"/>
    </row>
    <row r="3542" spans="1:4" x14ac:dyDescent="0.2">
      <c r="A3542" s="502"/>
      <c r="B3542" s="502"/>
      <c r="C3542" s="22"/>
      <c r="D3542" s="502"/>
    </row>
    <row r="3543" spans="1:4" x14ac:dyDescent="0.2">
      <c r="A3543" s="502"/>
      <c r="B3543" s="502"/>
      <c r="C3543" s="22"/>
      <c r="D3543" s="502"/>
    </row>
    <row r="3544" spans="1:4" x14ac:dyDescent="0.2">
      <c r="A3544" s="502"/>
      <c r="B3544" s="502"/>
      <c r="C3544" s="22"/>
      <c r="D3544" s="502"/>
    </row>
    <row r="3545" spans="1:4" x14ac:dyDescent="0.2">
      <c r="A3545" s="502"/>
      <c r="B3545" s="502"/>
      <c r="C3545" s="22"/>
      <c r="D3545" s="502"/>
    </row>
    <row r="3546" spans="1:4" x14ac:dyDescent="0.2">
      <c r="A3546" s="502"/>
      <c r="B3546" s="502"/>
      <c r="C3546" s="22"/>
      <c r="D3546" s="502"/>
    </row>
    <row r="3547" spans="1:4" x14ac:dyDescent="0.2">
      <c r="A3547" s="502"/>
      <c r="B3547" s="502"/>
      <c r="C3547" s="22"/>
      <c r="D3547" s="502"/>
    </row>
    <row r="3548" spans="1:4" x14ac:dyDescent="0.2">
      <c r="A3548" s="502"/>
      <c r="B3548" s="502"/>
      <c r="C3548" s="22"/>
      <c r="D3548" s="502"/>
    </row>
    <row r="3549" spans="1:4" x14ac:dyDescent="0.2">
      <c r="A3549" s="502"/>
      <c r="B3549" s="502"/>
      <c r="C3549" s="22"/>
      <c r="D3549" s="502"/>
    </row>
    <row r="3550" spans="1:4" x14ac:dyDescent="0.2">
      <c r="A3550" s="502"/>
      <c r="B3550" s="502"/>
      <c r="C3550" s="22"/>
      <c r="D3550" s="502"/>
    </row>
    <row r="3551" spans="1:4" x14ac:dyDescent="0.2">
      <c r="A3551" s="502"/>
      <c r="B3551" s="502"/>
      <c r="C3551" s="22"/>
      <c r="D3551" s="502"/>
    </row>
    <row r="3552" spans="1:4" x14ac:dyDescent="0.2">
      <c r="A3552" s="502"/>
      <c r="B3552" s="502"/>
      <c r="C3552" s="22"/>
      <c r="D3552" s="502"/>
    </row>
    <row r="3553" spans="1:4" x14ac:dyDescent="0.2">
      <c r="A3553" s="502"/>
      <c r="B3553" s="502"/>
      <c r="C3553" s="22"/>
      <c r="D3553" s="502"/>
    </row>
    <row r="3554" spans="1:4" x14ac:dyDescent="0.2">
      <c r="A3554" s="502"/>
      <c r="B3554" s="502"/>
      <c r="C3554" s="22"/>
      <c r="D3554" s="502"/>
    </row>
    <row r="3555" spans="1:4" x14ac:dyDescent="0.2">
      <c r="A3555" s="502"/>
      <c r="B3555" s="502"/>
      <c r="C3555" s="22"/>
      <c r="D3555" s="502"/>
    </row>
    <row r="3556" spans="1:4" x14ac:dyDescent="0.2">
      <c r="A3556" s="502"/>
      <c r="B3556" s="502"/>
      <c r="C3556" s="22"/>
      <c r="D3556" s="502"/>
    </row>
    <row r="3557" spans="1:4" x14ac:dyDescent="0.2">
      <c r="A3557" s="502"/>
      <c r="B3557" s="502"/>
      <c r="C3557" s="22"/>
      <c r="D3557" s="502"/>
    </row>
    <row r="3558" spans="1:4" x14ac:dyDescent="0.2">
      <c r="A3558" s="502"/>
      <c r="B3558" s="502"/>
      <c r="C3558" s="22"/>
      <c r="D3558" s="502"/>
    </row>
    <row r="3559" spans="1:4" x14ac:dyDescent="0.2">
      <c r="A3559" s="502"/>
      <c r="B3559" s="502"/>
      <c r="C3559" s="22"/>
      <c r="D3559" s="502"/>
    </row>
    <row r="3560" spans="1:4" x14ac:dyDescent="0.2">
      <c r="A3560" s="502"/>
      <c r="B3560" s="502"/>
      <c r="C3560" s="22"/>
      <c r="D3560" s="502"/>
    </row>
    <row r="3561" spans="1:4" x14ac:dyDescent="0.2">
      <c r="A3561" s="502"/>
      <c r="B3561" s="502"/>
      <c r="C3561" s="22"/>
      <c r="D3561" s="502"/>
    </row>
    <row r="3562" spans="1:4" x14ac:dyDescent="0.2">
      <c r="A3562" s="502"/>
      <c r="B3562" s="502"/>
      <c r="C3562" s="22"/>
      <c r="D3562" s="502"/>
    </row>
    <row r="3563" spans="1:4" x14ac:dyDescent="0.2">
      <c r="A3563" s="502"/>
      <c r="B3563" s="502"/>
      <c r="C3563" s="22"/>
      <c r="D3563" s="502"/>
    </row>
    <row r="3564" spans="1:4" x14ac:dyDescent="0.2">
      <c r="A3564" s="502"/>
      <c r="B3564" s="502"/>
      <c r="C3564" s="22"/>
      <c r="D3564" s="502"/>
    </row>
    <row r="3565" spans="1:4" x14ac:dyDescent="0.2">
      <c r="A3565" s="502"/>
      <c r="B3565" s="502"/>
      <c r="C3565" s="22"/>
      <c r="D3565" s="502"/>
    </row>
    <row r="3566" spans="1:4" x14ac:dyDescent="0.2">
      <c r="A3566" s="502"/>
      <c r="B3566" s="502"/>
      <c r="C3566" s="22"/>
      <c r="D3566" s="502"/>
    </row>
    <row r="3567" spans="1:4" x14ac:dyDescent="0.2">
      <c r="A3567" s="502"/>
      <c r="B3567" s="502"/>
      <c r="C3567" s="22"/>
      <c r="D3567" s="502"/>
    </row>
    <row r="3568" spans="1:4" x14ac:dyDescent="0.2">
      <c r="A3568" s="502"/>
      <c r="B3568" s="502"/>
      <c r="C3568" s="22"/>
      <c r="D3568" s="502"/>
    </row>
    <row r="3569" spans="1:4" x14ac:dyDescent="0.2">
      <c r="A3569" s="502"/>
      <c r="B3569" s="502"/>
      <c r="C3569" s="22"/>
      <c r="D3569" s="502"/>
    </row>
    <row r="3570" spans="1:4" x14ac:dyDescent="0.2">
      <c r="A3570" s="502"/>
      <c r="B3570" s="502"/>
      <c r="C3570" s="22"/>
      <c r="D3570" s="502"/>
    </row>
    <row r="3571" spans="1:4" x14ac:dyDescent="0.2">
      <c r="A3571" s="502"/>
      <c r="B3571" s="502"/>
      <c r="C3571" s="22"/>
      <c r="D3571" s="502"/>
    </row>
    <row r="3572" spans="1:4" x14ac:dyDescent="0.2">
      <c r="A3572" s="502"/>
      <c r="B3572" s="502"/>
      <c r="C3572" s="22"/>
      <c r="D3572" s="502"/>
    </row>
    <row r="3573" spans="1:4" x14ac:dyDescent="0.2">
      <c r="A3573" s="502"/>
      <c r="B3573" s="502"/>
      <c r="C3573" s="22"/>
      <c r="D3573" s="502"/>
    </row>
    <row r="3574" spans="1:4" x14ac:dyDescent="0.2">
      <c r="A3574" s="502"/>
      <c r="B3574" s="502"/>
      <c r="C3574" s="22"/>
      <c r="D3574" s="502"/>
    </row>
    <row r="3575" spans="1:4" x14ac:dyDescent="0.2">
      <c r="A3575" s="502"/>
      <c r="B3575" s="502"/>
      <c r="C3575" s="22"/>
      <c r="D3575" s="502"/>
    </row>
    <row r="3576" spans="1:4" x14ac:dyDescent="0.2">
      <c r="A3576" s="502"/>
      <c r="B3576" s="502"/>
      <c r="C3576" s="22"/>
      <c r="D3576" s="502"/>
    </row>
    <row r="3577" spans="1:4" x14ac:dyDescent="0.2">
      <c r="A3577" s="502"/>
      <c r="B3577" s="502"/>
      <c r="C3577" s="22"/>
      <c r="D3577" s="502"/>
    </row>
    <row r="3578" spans="1:4" x14ac:dyDescent="0.2">
      <c r="A3578" s="502"/>
      <c r="B3578" s="502"/>
      <c r="C3578" s="22"/>
      <c r="D3578" s="502"/>
    </row>
    <row r="3579" spans="1:4" x14ac:dyDescent="0.2">
      <c r="A3579" s="502"/>
      <c r="B3579" s="502"/>
      <c r="C3579" s="22"/>
      <c r="D3579" s="502"/>
    </row>
    <row r="3580" spans="1:4" x14ac:dyDescent="0.2">
      <c r="A3580" s="502"/>
      <c r="B3580" s="502"/>
      <c r="C3580" s="22"/>
      <c r="D3580" s="502"/>
    </row>
    <row r="3581" spans="1:4" x14ac:dyDescent="0.2">
      <c r="A3581" s="502"/>
      <c r="B3581" s="502"/>
      <c r="C3581" s="22"/>
      <c r="D3581" s="502"/>
    </row>
    <row r="3582" spans="1:4" x14ac:dyDescent="0.2">
      <c r="A3582" s="502"/>
      <c r="B3582" s="502"/>
      <c r="C3582" s="22"/>
      <c r="D3582" s="502"/>
    </row>
    <row r="3583" spans="1:4" x14ac:dyDescent="0.2">
      <c r="A3583" s="502"/>
      <c r="B3583" s="502"/>
      <c r="C3583" s="22"/>
      <c r="D3583" s="502"/>
    </row>
    <row r="3584" spans="1:4" x14ac:dyDescent="0.2">
      <c r="A3584" s="502"/>
      <c r="B3584" s="502"/>
      <c r="C3584" s="22"/>
      <c r="D3584" s="502"/>
    </row>
    <row r="3585" spans="1:4" x14ac:dyDescent="0.2">
      <c r="A3585" s="502"/>
      <c r="B3585" s="502"/>
      <c r="C3585" s="22"/>
      <c r="D3585" s="502"/>
    </row>
    <row r="3586" spans="1:4" x14ac:dyDescent="0.2">
      <c r="A3586" s="502"/>
      <c r="B3586" s="502"/>
      <c r="C3586" s="22"/>
      <c r="D3586" s="502"/>
    </row>
    <row r="3587" spans="1:4" x14ac:dyDescent="0.2">
      <c r="A3587" s="502"/>
      <c r="B3587" s="502"/>
      <c r="C3587" s="22"/>
      <c r="D3587" s="502"/>
    </row>
    <row r="3588" spans="1:4" x14ac:dyDescent="0.2">
      <c r="A3588" s="502"/>
      <c r="B3588" s="502"/>
      <c r="C3588" s="22"/>
      <c r="D3588" s="502"/>
    </row>
    <row r="3589" spans="1:4" x14ac:dyDescent="0.2">
      <c r="A3589" s="502"/>
      <c r="B3589" s="502"/>
      <c r="C3589" s="22"/>
      <c r="D3589" s="502"/>
    </row>
    <row r="3590" spans="1:4" x14ac:dyDescent="0.2">
      <c r="A3590" s="502"/>
      <c r="B3590" s="502"/>
      <c r="C3590" s="22"/>
      <c r="D3590" s="502"/>
    </row>
    <row r="3591" spans="1:4" x14ac:dyDescent="0.2">
      <c r="A3591" s="502"/>
      <c r="B3591" s="502"/>
      <c r="C3591" s="22"/>
      <c r="D3591" s="502"/>
    </row>
    <row r="3592" spans="1:4" x14ac:dyDescent="0.2">
      <c r="A3592" s="502"/>
      <c r="B3592" s="502"/>
      <c r="C3592" s="22"/>
      <c r="D3592" s="502"/>
    </row>
    <row r="3593" spans="1:4" x14ac:dyDescent="0.2">
      <c r="A3593" s="502"/>
      <c r="B3593" s="502"/>
      <c r="C3593" s="22"/>
      <c r="D3593" s="502"/>
    </row>
    <row r="3594" spans="1:4" x14ac:dyDescent="0.2">
      <c r="A3594" s="502"/>
      <c r="B3594" s="502"/>
      <c r="C3594" s="22"/>
      <c r="D3594" s="502"/>
    </row>
    <row r="3595" spans="1:4" x14ac:dyDescent="0.2">
      <c r="A3595" s="502"/>
      <c r="B3595" s="502"/>
      <c r="C3595" s="22"/>
      <c r="D3595" s="502"/>
    </row>
    <row r="3596" spans="1:4" x14ac:dyDescent="0.2">
      <c r="A3596" s="502"/>
      <c r="B3596" s="502"/>
      <c r="C3596" s="22"/>
      <c r="D3596" s="502"/>
    </row>
    <row r="3597" spans="1:4" x14ac:dyDescent="0.2">
      <c r="A3597" s="502"/>
      <c r="B3597" s="502"/>
      <c r="C3597" s="22"/>
      <c r="D3597" s="502"/>
    </row>
    <row r="3598" spans="1:4" x14ac:dyDescent="0.2">
      <c r="A3598" s="502"/>
      <c r="B3598" s="502"/>
      <c r="C3598" s="22"/>
      <c r="D3598" s="502"/>
    </row>
    <row r="3599" spans="1:4" x14ac:dyDescent="0.2">
      <c r="A3599" s="502"/>
      <c r="B3599" s="502"/>
      <c r="C3599" s="22"/>
      <c r="D3599" s="502"/>
    </row>
    <row r="3600" spans="1:4" x14ac:dyDescent="0.2">
      <c r="A3600" s="502"/>
      <c r="B3600" s="502"/>
      <c r="C3600" s="22"/>
      <c r="D3600" s="502"/>
    </row>
    <row r="3601" spans="1:4" x14ac:dyDescent="0.2">
      <c r="A3601" s="502"/>
      <c r="B3601" s="502"/>
      <c r="C3601" s="22"/>
      <c r="D3601" s="502"/>
    </row>
    <row r="3602" spans="1:4" x14ac:dyDescent="0.2">
      <c r="A3602" s="502"/>
      <c r="B3602" s="502"/>
      <c r="C3602" s="22"/>
      <c r="D3602" s="502"/>
    </row>
    <row r="3603" spans="1:4" x14ac:dyDescent="0.2">
      <c r="A3603" s="502"/>
      <c r="B3603" s="502"/>
      <c r="C3603" s="22"/>
      <c r="D3603" s="502"/>
    </row>
    <row r="3604" spans="1:4" x14ac:dyDescent="0.2">
      <c r="A3604" s="502"/>
      <c r="B3604" s="502"/>
      <c r="C3604" s="22"/>
      <c r="D3604" s="502"/>
    </row>
    <row r="3605" spans="1:4" x14ac:dyDescent="0.2">
      <c r="A3605" s="502"/>
      <c r="B3605" s="502"/>
      <c r="C3605" s="22"/>
      <c r="D3605" s="502"/>
    </row>
    <row r="3606" spans="1:4" x14ac:dyDescent="0.2">
      <c r="A3606" s="502"/>
      <c r="B3606" s="502"/>
      <c r="C3606" s="22"/>
      <c r="D3606" s="502"/>
    </row>
    <row r="3607" spans="1:4" x14ac:dyDescent="0.2">
      <c r="A3607" s="502"/>
      <c r="B3607" s="502"/>
      <c r="C3607" s="22"/>
      <c r="D3607" s="502"/>
    </row>
    <row r="3608" spans="1:4" x14ac:dyDescent="0.2">
      <c r="A3608" s="502"/>
      <c r="B3608" s="502"/>
      <c r="C3608" s="22"/>
      <c r="D3608" s="502"/>
    </row>
    <row r="3609" spans="1:4" x14ac:dyDescent="0.2">
      <c r="A3609" s="502"/>
      <c r="B3609" s="502"/>
      <c r="C3609" s="22"/>
      <c r="D3609" s="502"/>
    </row>
    <row r="3610" spans="1:4" x14ac:dyDescent="0.2">
      <c r="A3610" s="502"/>
      <c r="B3610" s="502"/>
      <c r="C3610" s="22"/>
      <c r="D3610" s="502"/>
    </row>
    <row r="3611" spans="1:4" x14ac:dyDescent="0.2">
      <c r="A3611" s="502"/>
      <c r="B3611" s="502"/>
      <c r="C3611" s="22"/>
      <c r="D3611" s="502"/>
    </row>
    <row r="3612" spans="1:4" x14ac:dyDescent="0.2">
      <c r="A3612" s="502"/>
      <c r="B3612" s="502"/>
      <c r="C3612" s="22"/>
      <c r="D3612" s="502"/>
    </row>
    <row r="3613" spans="1:4" x14ac:dyDescent="0.2">
      <c r="A3613" s="502"/>
      <c r="B3613" s="502"/>
      <c r="C3613" s="22"/>
      <c r="D3613" s="502"/>
    </row>
    <row r="3614" spans="1:4" x14ac:dyDescent="0.2">
      <c r="A3614" s="502"/>
      <c r="B3614" s="502"/>
      <c r="C3614" s="22"/>
      <c r="D3614" s="502"/>
    </row>
    <row r="3615" spans="1:4" x14ac:dyDescent="0.2">
      <c r="A3615" s="502"/>
      <c r="B3615" s="502"/>
      <c r="C3615" s="22"/>
      <c r="D3615" s="502"/>
    </row>
    <row r="3616" spans="1:4" x14ac:dyDescent="0.2">
      <c r="A3616" s="502"/>
      <c r="B3616" s="502"/>
      <c r="C3616" s="22"/>
      <c r="D3616" s="502"/>
    </row>
    <row r="3617" spans="1:4" x14ac:dyDescent="0.2">
      <c r="A3617" s="502"/>
      <c r="B3617" s="502"/>
      <c r="C3617" s="22"/>
      <c r="D3617" s="502"/>
    </row>
    <row r="3618" spans="1:4" x14ac:dyDescent="0.2">
      <c r="A3618" s="502"/>
      <c r="B3618" s="502"/>
      <c r="C3618" s="22"/>
      <c r="D3618" s="502"/>
    </row>
    <row r="3619" spans="1:4" x14ac:dyDescent="0.2">
      <c r="A3619" s="502"/>
      <c r="B3619" s="502"/>
      <c r="C3619" s="22"/>
      <c r="D3619" s="502"/>
    </row>
    <row r="3620" spans="1:4" x14ac:dyDescent="0.2">
      <c r="A3620" s="502"/>
      <c r="B3620" s="502"/>
      <c r="C3620" s="22"/>
      <c r="D3620" s="502"/>
    </row>
    <row r="3621" spans="1:4" x14ac:dyDescent="0.2">
      <c r="A3621" s="502"/>
      <c r="B3621" s="502"/>
      <c r="C3621" s="22"/>
      <c r="D3621" s="502"/>
    </row>
    <row r="3622" spans="1:4" x14ac:dyDescent="0.2">
      <c r="A3622" s="502"/>
      <c r="B3622" s="502"/>
      <c r="C3622" s="22"/>
      <c r="D3622" s="502"/>
    </row>
    <row r="3623" spans="1:4" x14ac:dyDescent="0.2">
      <c r="A3623" s="502"/>
      <c r="B3623" s="502"/>
      <c r="C3623" s="22"/>
      <c r="D3623" s="502"/>
    </row>
    <row r="3624" spans="1:4" x14ac:dyDescent="0.2">
      <c r="A3624" s="502"/>
      <c r="B3624" s="502"/>
      <c r="C3624" s="22"/>
      <c r="D3624" s="502"/>
    </row>
    <row r="3625" spans="1:4" x14ac:dyDescent="0.2">
      <c r="A3625" s="502"/>
      <c r="B3625" s="502"/>
      <c r="C3625" s="22"/>
      <c r="D3625" s="502"/>
    </row>
    <row r="3626" spans="1:4" x14ac:dyDescent="0.2">
      <c r="A3626" s="502"/>
      <c r="B3626" s="502"/>
      <c r="C3626" s="22"/>
      <c r="D3626" s="502"/>
    </row>
    <row r="3627" spans="1:4" x14ac:dyDescent="0.2">
      <c r="A3627" s="502"/>
      <c r="B3627" s="502"/>
      <c r="C3627" s="22"/>
      <c r="D3627" s="502"/>
    </row>
    <row r="3628" spans="1:4" x14ac:dyDescent="0.2">
      <c r="A3628" s="502"/>
      <c r="B3628" s="502"/>
      <c r="C3628" s="22"/>
      <c r="D3628" s="502"/>
    </row>
    <row r="3629" spans="1:4" x14ac:dyDescent="0.2">
      <c r="A3629" s="502"/>
      <c r="B3629" s="502"/>
      <c r="C3629" s="22"/>
      <c r="D3629" s="502"/>
    </row>
    <row r="3630" spans="1:4" x14ac:dyDescent="0.2">
      <c r="A3630" s="502"/>
      <c r="B3630" s="502"/>
      <c r="C3630" s="22"/>
      <c r="D3630" s="502"/>
    </row>
    <row r="3631" spans="1:4" x14ac:dyDescent="0.2">
      <c r="A3631" s="502"/>
      <c r="B3631" s="502"/>
      <c r="C3631" s="22"/>
      <c r="D3631" s="502"/>
    </row>
    <row r="3632" spans="1:4" x14ac:dyDescent="0.2">
      <c r="A3632" s="502"/>
      <c r="B3632" s="502"/>
      <c r="C3632" s="22"/>
      <c r="D3632" s="502"/>
    </row>
    <row r="3633" spans="1:4" x14ac:dyDescent="0.2">
      <c r="A3633" s="502"/>
      <c r="B3633" s="502"/>
      <c r="C3633" s="22"/>
      <c r="D3633" s="502"/>
    </row>
    <row r="3634" spans="1:4" x14ac:dyDescent="0.2">
      <c r="A3634" s="502"/>
      <c r="B3634" s="502"/>
      <c r="C3634" s="22"/>
      <c r="D3634" s="502"/>
    </row>
    <row r="3635" spans="1:4" x14ac:dyDescent="0.2">
      <c r="A3635" s="502"/>
      <c r="B3635" s="502"/>
      <c r="C3635" s="22"/>
      <c r="D3635" s="502"/>
    </row>
    <row r="3636" spans="1:4" x14ac:dyDescent="0.2">
      <c r="A3636" s="502"/>
      <c r="B3636" s="502"/>
      <c r="C3636" s="22"/>
      <c r="D3636" s="502"/>
    </row>
    <row r="3637" spans="1:4" x14ac:dyDescent="0.2">
      <c r="A3637" s="502"/>
      <c r="B3637" s="502"/>
      <c r="C3637" s="22"/>
      <c r="D3637" s="502"/>
    </row>
    <row r="3638" spans="1:4" x14ac:dyDescent="0.2">
      <c r="A3638" s="502"/>
      <c r="B3638" s="502"/>
      <c r="C3638" s="22"/>
      <c r="D3638" s="502"/>
    </row>
    <row r="3639" spans="1:4" x14ac:dyDescent="0.2">
      <c r="A3639" s="502"/>
      <c r="B3639" s="502"/>
      <c r="C3639" s="22"/>
      <c r="D3639" s="502"/>
    </row>
    <row r="3640" spans="1:4" x14ac:dyDescent="0.2">
      <c r="A3640" s="502"/>
      <c r="B3640" s="502"/>
      <c r="C3640" s="22"/>
      <c r="D3640" s="502"/>
    </row>
    <row r="3641" spans="1:4" x14ac:dyDescent="0.2">
      <c r="A3641" s="502"/>
      <c r="B3641" s="502"/>
      <c r="C3641" s="22"/>
      <c r="D3641" s="502"/>
    </row>
    <row r="3642" spans="1:4" x14ac:dyDescent="0.2">
      <c r="A3642" s="502"/>
      <c r="B3642" s="502"/>
      <c r="C3642" s="22"/>
      <c r="D3642" s="502"/>
    </row>
    <row r="3643" spans="1:4" x14ac:dyDescent="0.2">
      <c r="A3643" s="502"/>
      <c r="B3643" s="502"/>
      <c r="C3643" s="22"/>
      <c r="D3643" s="502"/>
    </row>
    <row r="3644" spans="1:4" x14ac:dyDescent="0.2">
      <c r="A3644" s="502"/>
      <c r="B3644" s="502"/>
      <c r="C3644" s="22"/>
      <c r="D3644" s="502"/>
    </row>
    <row r="3645" spans="1:4" x14ac:dyDescent="0.2">
      <c r="A3645" s="502"/>
      <c r="B3645" s="502"/>
      <c r="C3645" s="22"/>
      <c r="D3645" s="502"/>
    </row>
    <row r="3646" spans="1:4" x14ac:dyDescent="0.2">
      <c r="A3646" s="502"/>
      <c r="B3646" s="502"/>
      <c r="C3646" s="22"/>
      <c r="D3646" s="502"/>
    </row>
    <row r="3647" spans="1:4" x14ac:dyDescent="0.2">
      <c r="A3647" s="502"/>
      <c r="B3647" s="502"/>
      <c r="C3647" s="22"/>
      <c r="D3647" s="502"/>
    </row>
    <row r="3648" spans="1:4" x14ac:dyDescent="0.2">
      <c r="A3648" s="502"/>
      <c r="B3648" s="502"/>
      <c r="C3648" s="22"/>
      <c r="D3648" s="502"/>
    </row>
    <row r="3649" spans="1:4" x14ac:dyDescent="0.2">
      <c r="A3649" s="502"/>
      <c r="B3649" s="502"/>
      <c r="C3649" s="22"/>
      <c r="D3649" s="502"/>
    </row>
    <row r="3650" spans="1:4" x14ac:dyDescent="0.2">
      <c r="A3650" s="502"/>
      <c r="B3650" s="502"/>
      <c r="C3650" s="22"/>
      <c r="D3650" s="502"/>
    </row>
    <row r="3651" spans="1:4" x14ac:dyDescent="0.2">
      <c r="A3651" s="502"/>
      <c r="B3651" s="502"/>
      <c r="C3651" s="22"/>
      <c r="D3651" s="502"/>
    </row>
    <row r="3652" spans="1:4" x14ac:dyDescent="0.2">
      <c r="A3652" s="502"/>
      <c r="B3652" s="502"/>
      <c r="C3652" s="22"/>
      <c r="D3652" s="502"/>
    </row>
    <row r="3653" spans="1:4" x14ac:dyDescent="0.2">
      <c r="A3653" s="502"/>
      <c r="B3653" s="502"/>
      <c r="C3653" s="22"/>
      <c r="D3653" s="502"/>
    </row>
    <row r="3654" spans="1:4" x14ac:dyDescent="0.2">
      <c r="A3654" s="502"/>
      <c r="B3654" s="502"/>
      <c r="C3654" s="22"/>
      <c r="D3654" s="502"/>
    </row>
    <row r="3655" spans="1:4" x14ac:dyDescent="0.2">
      <c r="A3655" s="502"/>
      <c r="B3655" s="502"/>
      <c r="C3655" s="22"/>
      <c r="D3655" s="502"/>
    </row>
    <row r="3656" spans="1:4" x14ac:dyDescent="0.2">
      <c r="A3656" s="502"/>
      <c r="B3656" s="502"/>
      <c r="C3656" s="22"/>
      <c r="D3656" s="502"/>
    </row>
    <row r="3657" spans="1:4" x14ac:dyDescent="0.2">
      <c r="A3657" s="502"/>
      <c r="B3657" s="502"/>
      <c r="C3657" s="22"/>
      <c r="D3657" s="502"/>
    </row>
    <row r="3658" spans="1:4" x14ac:dyDescent="0.2">
      <c r="A3658" s="502"/>
      <c r="B3658" s="502"/>
      <c r="C3658" s="22"/>
      <c r="D3658" s="502"/>
    </row>
    <row r="3659" spans="1:4" x14ac:dyDescent="0.2">
      <c r="A3659" s="502"/>
      <c r="B3659" s="502"/>
      <c r="C3659" s="22"/>
      <c r="D3659" s="502"/>
    </row>
    <row r="3660" spans="1:4" x14ac:dyDescent="0.2">
      <c r="A3660" s="502"/>
      <c r="B3660" s="502"/>
      <c r="C3660" s="22"/>
      <c r="D3660" s="502"/>
    </row>
    <row r="3661" spans="1:4" x14ac:dyDescent="0.2">
      <c r="A3661" s="502"/>
      <c r="B3661" s="502"/>
      <c r="C3661" s="22"/>
      <c r="D3661" s="502"/>
    </row>
    <row r="3662" spans="1:4" x14ac:dyDescent="0.2">
      <c r="A3662" s="502"/>
      <c r="B3662" s="502"/>
      <c r="C3662" s="22"/>
      <c r="D3662" s="502"/>
    </row>
    <row r="3663" spans="1:4" x14ac:dyDescent="0.2">
      <c r="A3663" s="502"/>
      <c r="B3663" s="502"/>
      <c r="C3663" s="22"/>
      <c r="D3663" s="502"/>
    </row>
    <row r="3664" spans="1:4" x14ac:dyDescent="0.2">
      <c r="A3664" s="502"/>
      <c r="B3664" s="502"/>
      <c r="C3664" s="22"/>
      <c r="D3664" s="502"/>
    </row>
    <row r="3665" spans="1:4" x14ac:dyDescent="0.2">
      <c r="A3665" s="502"/>
      <c r="B3665" s="502"/>
      <c r="C3665" s="22"/>
      <c r="D3665" s="502"/>
    </row>
    <row r="3666" spans="1:4" x14ac:dyDescent="0.2">
      <c r="A3666" s="502"/>
      <c r="B3666" s="502"/>
      <c r="C3666" s="22"/>
      <c r="D3666" s="502"/>
    </row>
    <row r="3667" spans="1:4" x14ac:dyDescent="0.2">
      <c r="A3667" s="502"/>
      <c r="B3667" s="502"/>
      <c r="C3667" s="22"/>
      <c r="D3667" s="502"/>
    </row>
    <row r="3668" spans="1:4" x14ac:dyDescent="0.2">
      <c r="A3668" s="502"/>
      <c r="B3668" s="502"/>
      <c r="C3668" s="22"/>
      <c r="D3668" s="502"/>
    </row>
    <row r="3669" spans="1:4" x14ac:dyDescent="0.2">
      <c r="A3669" s="502"/>
      <c r="B3669" s="502"/>
      <c r="C3669" s="22"/>
      <c r="D3669" s="502"/>
    </row>
    <row r="3670" spans="1:4" x14ac:dyDescent="0.2">
      <c r="A3670" s="502"/>
      <c r="B3670" s="502"/>
      <c r="C3670" s="22"/>
      <c r="D3670" s="502"/>
    </row>
    <row r="3671" spans="1:4" x14ac:dyDescent="0.2">
      <c r="A3671" s="502"/>
      <c r="B3671" s="502"/>
      <c r="C3671" s="22"/>
      <c r="D3671" s="502"/>
    </row>
    <row r="3672" spans="1:4" x14ac:dyDescent="0.2">
      <c r="A3672" s="502"/>
      <c r="B3672" s="502"/>
      <c r="C3672" s="22"/>
      <c r="D3672" s="502"/>
    </row>
    <row r="3673" spans="1:4" x14ac:dyDescent="0.2">
      <c r="A3673" s="502"/>
      <c r="B3673" s="502"/>
      <c r="C3673" s="22"/>
      <c r="D3673" s="502"/>
    </row>
    <row r="3674" spans="1:4" x14ac:dyDescent="0.2">
      <c r="A3674" s="502"/>
      <c r="B3674" s="502"/>
      <c r="C3674" s="22"/>
      <c r="D3674" s="502"/>
    </row>
    <row r="3675" spans="1:4" x14ac:dyDescent="0.2">
      <c r="A3675" s="502"/>
      <c r="B3675" s="502"/>
      <c r="C3675" s="22"/>
      <c r="D3675" s="502"/>
    </row>
    <row r="3676" spans="1:4" x14ac:dyDescent="0.2">
      <c r="A3676" s="502"/>
      <c r="B3676" s="502"/>
      <c r="C3676" s="22"/>
      <c r="D3676" s="502"/>
    </row>
    <row r="3677" spans="1:4" x14ac:dyDescent="0.2">
      <c r="A3677" s="502"/>
      <c r="B3677" s="502"/>
      <c r="C3677" s="22"/>
      <c r="D3677" s="502"/>
    </row>
    <row r="3678" spans="1:4" x14ac:dyDescent="0.2">
      <c r="A3678" s="502"/>
      <c r="B3678" s="502"/>
      <c r="C3678" s="22"/>
      <c r="D3678" s="502"/>
    </row>
    <row r="3679" spans="1:4" x14ac:dyDescent="0.2">
      <c r="A3679" s="502"/>
      <c r="B3679" s="502"/>
      <c r="C3679" s="22"/>
      <c r="D3679" s="502"/>
    </row>
    <row r="3680" spans="1:4" x14ac:dyDescent="0.2">
      <c r="A3680" s="502"/>
      <c r="B3680" s="502"/>
      <c r="C3680" s="22"/>
      <c r="D3680" s="502"/>
    </row>
    <row r="3681" spans="1:4" x14ac:dyDescent="0.2">
      <c r="A3681" s="502"/>
      <c r="B3681" s="502"/>
      <c r="C3681" s="22"/>
      <c r="D3681" s="502"/>
    </row>
    <row r="3682" spans="1:4" x14ac:dyDescent="0.2">
      <c r="A3682" s="502"/>
      <c r="B3682" s="502"/>
      <c r="C3682" s="22"/>
      <c r="D3682" s="502"/>
    </row>
    <row r="3683" spans="1:4" x14ac:dyDescent="0.2">
      <c r="A3683" s="502"/>
      <c r="B3683" s="502"/>
      <c r="C3683" s="22"/>
      <c r="D3683" s="502"/>
    </row>
    <row r="3684" spans="1:4" x14ac:dyDescent="0.2">
      <c r="A3684" s="502"/>
      <c r="B3684" s="502"/>
      <c r="C3684" s="22"/>
      <c r="D3684" s="502"/>
    </row>
    <row r="3685" spans="1:4" x14ac:dyDescent="0.2">
      <c r="A3685" s="502"/>
      <c r="B3685" s="502"/>
      <c r="C3685" s="22"/>
      <c r="D3685" s="502"/>
    </row>
    <row r="3686" spans="1:4" x14ac:dyDescent="0.2">
      <c r="A3686" s="502"/>
      <c r="B3686" s="502"/>
      <c r="C3686" s="22"/>
      <c r="D3686" s="502"/>
    </row>
    <row r="3687" spans="1:4" x14ac:dyDescent="0.2">
      <c r="A3687" s="502"/>
      <c r="B3687" s="502"/>
      <c r="C3687" s="22"/>
      <c r="D3687" s="502"/>
    </row>
    <row r="3688" spans="1:4" x14ac:dyDescent="0.2">
      <c r="A3688" s="502"/>
      <c r="B3688" s="502"/>
      <c r="C3688" s="22"/>
      <c r="D3688" s="502"/>
    </row>
    <row r="3689" spans="1:4" x14ac:dyDescent="0.2">
      <c r="A3689" s="502"/>
      <c r="B3689" s="502"/>
      <c r="C3689" s="22"/>
      <c r="D3689" s="502"/>
    </row>
    <row r="3690" spans="1:4" x14ac:dyDescent="0.2">
      <c r="A3690" s="502"/>
      <c r="B3690" s="502"/>
      <c r="C3690" s="22"/>
      <c r="D3690" s="502"/>
    </row>
    <row r="3691" spans="1:4" x14ac:dyDescent="0.2">
      <c r="A3691" s="502"/>
      <c r="B3691" s="502"/>
      <c r="C3691" s="22"/>
      <c r="D3691" s="502"/>
    </row>
    <row r="3692" spans="1:4" x14ac:dyDescent="0.2">
      <c r="A3692" s="502"/>
      <c r="B3692" s="502"/>
      <c r="C3692" s="22"/>
      <c r="D3692" s="502"/>
    </row>
    <row r="3693" spans="1:4" x14ac:dyDescent="0.2">
      <c r="A3693" s="502"/>
      <c r="B3693" s="502"/>
      <c r="C3693" s="22"/>
      <c r="D3693" s="502"/>
    </row>
    <row r="3694" spans="1:4" x14ac:dyDescent="0.2">
      <c r="A3694" s="502"/>
      <c r="B3694" s="502"/>
      <c r="C3694" s="22"/>
      <c r="D3694" s="502"/>
    </row>
    <row r="3695" spans="1:4" x14ac:dyDescent="0.2">
      <c r="A3695" s="502"/>
      <c r="B3695" s="502"/>
      <c r="C3695" s="22"/>
      <c r="D3695" s="502"/>
    </row>
    <row r="3696" spans="1:4" x14ac:dyDescent="0.2">
      <c r="A3696" s="502"/>
      <c r="B3696" s="502"/>
      <c r="C3696" s="22"/>
      <c r="D3696" s="502"/>
    </row>
    <row r="3697" spans="1:4" x14ac:dyDescent="0.2">
      <c r="A3697" s="502"/>
      <c r="B3697" s="502"/>
      <c r="C3697" s="22"/>
      <c r="D3697" s="502"/>
    </row>
    <row r="3698" spans="1:4" x14ac:dyDescent="0.2">
      <c r="A3698" s="502"/>
      <c r="B3698" s="502"/>
      <c r="C3698" s="22"/>
      <c r="D3698" s="502"/>
    </row>
    <row r="3699" spans="1:4" x14ac:dyDescent="0.2">
      <c r="A3699" s="502"/>
      <c r="B3699" s="502"/>
      <c r="C3699" s="22"/>
      <c r="D3699" s="502"/>
    </row>
    <row r="3700" spans="1:4" x14ac:dyDescent="0.2">
      <c r="A3700" s="502"/>
      <c r="B3700" s="502"/>
      <c r="C3700" s="22"/>
      <c r="D3700" s="502"/>
    </row>
    <row r="3701" spans="1:4" x14ac:dyDescent="0.2">
      <c r="A3701" s="502"/>
      <c r="B3701" s="502"/>
      <c r="C3701" s="22"/>
      <c r="D3701" s="502"/>
    </row>
    <row r="3702" spans="1:4" x14ac:dyDescent="0.2">
      <c r="A3702" s="502"/>
      <c r="B3702" s="502"/>
      <c r="C3702" s="22"/>
      <c r="D3702" s="502"/>
    </row>
    <row r="3703" spans="1:4" x14ac:dyDescent="0.2">
      <c r="A3703" s="502"/>
      <c r="B3703" s="502"/>
      <c r="C3703" s="22"/>
      <c r="D3703" s="502"/>
    </row>
    <row r="3704" spans="1:4" x14ac:dyDescent="0.2">
      <c r="A3704" s="502"/>
      <c r="B3704" s="502"/>
      <c r="C3704" s="22"/>
      <c r="D3704" s="502"/>
    </row>
    <row r="3705" spans="1:4" x14ac:dyDescent="0.2">
      <c r="A3705" s="502"/>
      <c r="B3705" s="502"/>
      <c r="C3705" s="22"/>
      <c r="D3705" s="502"/>
    </row>
    <row r="3706" spans="1:4" x14ac:dyDescent="0.2">
      <c r="A3706" s="502"/>
      <c r="B3706" s="502"/>
      <c r="C3706" s="22"/>
      <c r="D3706" s="502"/>
    </row>
    <row r="3707" spans="1:4" x14ac:dyDescent="0.2">
      <c r="A3707" s="502"/>
      <c r="B3707" s="502"/>
      <c r="C3707" s="22"/>
      <c r="D3707" s="502"/>
    </row>
    <row r="3708" spans="1:4" x14ac:dyDescent="0.2">
      <c r="A3708" s="502"/>
      <c r="B3708" s="502"/>
      <c r="C3708" s="22"/>
      <c r="D3708" s="502"/>
    </row>
    <row r="3709" spans="1:4" x14ac:dyDescent="0.2">
      <c r="A3709" s="502"/>
      <c r="B3709" s="502"/>
      <c r="C3709" s="22"/>
      <c r="D3709" s="502"/>
    </row>
    <row r="3710" spans="1:4" x14ac:dyDescent="0.2">
      <c r="A3710" s="502"/>
      <c r="B3710" s="502"/>
      <c r="C3710" s="22"/>
      <c r="D3710" s="502"/>
    </row>
    <row r="3711" spans="1:4" x14ac:dyDescent="0.2">
      <c r="A3711" s="502"/>
      <c r="B3711" s="502"/>
      <c r="C3711" s="22"/>
      <c r="D3711" s="502"/>
    </row>
    <row r="3712" spans="1:4" x14ac:dyDescent="0.2">
      <c r="A3712" s="502"/>
      <c r="B3712" s="502"/>
      <c r="C3712" s="22"/>
      <c r="D3712" s="502"/>
    </row>
    <row r="3713" spans="1:4" x14ac:dyDescent="0.2">
      <c r="A3713" s="502"/>
      <c r="B3713" s="502"/>
      <c r="C3713" s="22"/>
      <c r="D3713" s="502"/>
    </row>
    <row r="3714" spans="1:4" x14ac:dyDescent="0.2">
      <c r="A3714" s="502"/>
      <c r="B3714" s="502"/>
      <c r="C3714" s="22"/>
      <c r="D3714" s="502"/>
    </row>
    <row r="3715" spans="1:4" x14ac:dyDescent="0.2">
      <c r="A3715" s="502"/>
      <c r="B3715" s="502"/>
      <c r="C3715" s="22"/>
      <c r="D3715" s="502"/>
    </row>
    <row r="3716" spans="1:4" x14ac:dyDescent="0.2">
      <c r="A3716" s="502"/>
      <c r="B3716" s="502"/>
      <c r="C3716" s="22"/>
      <c r="D3716" s="502"/>
    </row>
    <row r="3717" spans="1:4" x14ac:dyDescent="0.2">
      <c r="A3717" s="502"/>
      <c r="B3717" s="502"/>
      <c r="C3717" s="22"/>
      <c r="D3717" s="502"/>
    </row>
    <row r="3718" spans="1:4" x14ac:dyDescent="0.2">
      <c r="A3718" s="502"/>
      <c r="B3718" s="502"/>
      <c r="C3718" s="22"/>
      <c r="D3718" s="502"/>
    </row>
    <row r="3719" spans="1:4" x14ac:dyDescent="0.2">
      <c r="A3719" s="502"/>
      <c r="B3719" s="502"/>
      <c r="C3719" s="22"/>
      <c r="D3719" s="502"/>
    </row>
    <row r="3720" spans="1:4" x14ac:dyDescent="0.2">
      <c r="A3720" s="502"/>
      <c r="B3720" s="502"/>
      <c r="C3720" s="22"/>
      <c r="D3720" s="502"/>
    </row>
    <row r="3721" spans="1:4" x14ac:dyDescent="0.2">
      <c r="A3721" s="502"/>
      <c r="B3721" s="502"/>
      <c r="C3721" s="22"/>
      <c r="D3721" s="502"/>
    </row>
    <row r="3722" spans="1:4" x14ac:dyDescent="0.2">
      <c r="A3722" s="502"/>
      <c r="B3722" s="502"/>
      <c r="C3722" s="22"/>
      <c r="D3722" s="502"/>
    </row>
    <row r="3723" spans="1:4" x14ac:dyDescent="0.2">
      <c r="A3723" s="502"/>
      <c r="B3723" s="502"/>
      <c r="C3723" s="22"/>
      <c r="D3723" s="502"/>
    </row>
    <row r="3724" spans="1:4" x14ac:dyDescent="0.2">
      <c r="A3724" s="502"/>
      <c r="B3724" s="502"/>
      <c r="C3724" s="22"/>
      <c r="D3724" s="502"/>
    </row>
    <row r="3725" spans="1:4" x14ac:dyDescent="0.2">
      <c r="A3725" s="502"/>
      <c r="B3725" s="502"/>
      <c r="C3725" s="22"/>
      <c r="D3725" s="502"/>
    </row>
    <row r="3726" spans="1:4" x14ac:dyDescent="0.2">
      <c r="A3726" s="502"/>
      <c r="B3726" s="502"/>
      <c r="C3726" s="22"/>
      <c r="D3726" s="502"/>
    </row>
    <row r="3727" spans="1:4" x14ac:dyDescent="0.2">
      <c r="A3727" s="502"/>
      <c r="B3727" s="502"/>
      <c r="C3727" s="22"/>
      <c r="D3727" s="502"/>
    </row>
    <row r="3728" spans="1:4" x14ac:dyDescent="0.2">
      <c r="A3728" s="502"/>
      <c r="B3728" s="502"/>
      <c r="C3728" s="22"/>
      <c r="D3728" s="502"/>
    </row>
    <row r="3729" spans="1:4" x14ac:dyDescent="0.2">
      <c r="A3729" s="502"/>
      <c r="B3729" s="502"/>
      <c r="C3729" s="22"/>
      <c r="D3729" s="502"/>
    </row>
    <row r="3730" spans="1:4" x14ac:dyDescent="0.2">
      <c r="A3730" s="502"/>
      <c r="B3730" s="502"/>
      <c r="C3730" s="22"/>
      <c r="D3730" s="502"/>
    </row>
    <row r="3731" spans="1:4" x14ac:dyDescent="0.2">
      <c r="A3731" s="502"/>
      <c r="B3731" s="502"/>
      <c r="C3731" s="22"/>
      <c r="D3731" s="502"/>
    </row>
    <row r="3732" spans="1:4" x14ac:dyDescent="0.2">
      <c r="A3732" s="502"/>
      <c r="B3732" s="502"/>
      <c r="C3732" s="22"/>
      <c r="D3732" s="502"/>
    </row>
    <row r="3733" spans="1:4" x14ac:dyDescent="0.2">
      <c r="A3733" s="502"/>
      <c r="B3733" s="502"/>
      <c r="C3733" s="22"/>
      <c r="D3733" s="502"/>
    </row>
    <row r="3734" spans="1:4" x14ac:dyDescent="0.2">
      <c r="A3734" s="502"/>
      <c r="B3734" s="502"/>
      <c r="C3734" s="22"/>
      <c r="D3734" s="502"/>
    </row>
    <row r="3735" spans="1:4" x14ac:dyDescent="0.2">
      <c r="A3735" s="502"/>
      <c r="B3735" s="502"/>
      <c r="C3735" s="22"/>
      <c r="D3735" s="502"/>
    </row>
    <row r="3736" spans="1:4" x14ac:dyDescent="0.2">
      <c r="A3736" s="502"/>
      <c r="B3736" s="502"/>
      <c r="C3736" s="22"/>
      <c r="D3736" s="502"/>
    </row>
    <row r="3737" spans="1:4" x14ac:dyDescent="0.2">
      <c r="A3737" s="502"/>
      <c r="B3737" s="502"/>
      <c r="C3737" s="22"/>
      <c r="D3737" s="502"/>
    </row>
    <row r="3738" spans="1:4" x14ac:dyDescent="0.2">
      <c r="A3738" s="502"/>
      <c r="B3738" s="502"/>
      <c r="C3738" s="22"/>
      <c r="D3738" s="502"/>
    </row>
    <row r="3739" spans="1:4" x14ac:dyDescent="0.2">
      <c r="A3739" s="502"/>
      <c r="B3739" s="502"/>
      <c r="C3739" s="22"/>
      <c r="D3739" s="502"/>
    </row>
    <row r="3740" spans="1:4" x14ac:dyDescent="0.2">
      <c r="A3740" s="502"/>
      <c r="B3740" s="502"/>
      <c r="C3740" s="22"/>
      <c r="D3740" s="502"/>
    </row>
    <row r="3741" spans="1:4" x14ac:dyDescent="0.2">
      <c r="A3741" s="502"/>
      <c r="B3741" s="502"/>
      <c r="C3741" s="22"/>
      <c r="D3741" s="502"/>
    </row>
    <row r="3742" spans="1:4" x14ac:dyDescent="0.2">
      <c r="A3742" s="502"/>
      <c r="B3742" s="502"/>
      <c r="C3742" s="22"/>
      <c r="D3742" s="502"/>
    </row>
    <row r="3743" spans="1:4" x14ac:dyDescent="0.2">
      <c r="A3743" s="502"/>
      <c r="B3743" s="502"/>
      <c r="C3743" s="22"/>
      <c r="D3743" s="502"/>
    </row>
    <row r="3744" spans="1:4" x14ac:dyDescent="0.2">
      <c r="A3744" s="502"/>
      <c r="B3744" s="502"/>
      <c r="C3744" s="22"/>
      <c r="D3744" s="502"/>
    </row>
    <row r="3745" spans="1:4" x14ac:dyDescent="0.2">
      <c r="A3745" s="502"/>
      <c r="B3745" s="502"/>
      <c r="C3745" s="22"/>
      <c r="D3745" s="502"/>
    </row>
    <row r="3746" spans="1:4" x14ac:dyDescent="0.2">
      <c r="A3746" s="502"/>
      <c r="B3746" s="502"/>
      <c r="C3746" s="22"/>
      <c r="D3746" s="502"/>
    </row>
    <row r="3747" spans="1:4" x14ac:dyDescent="0.2">
      <c r="A3747" s="502"/>
      <c r="B3747" s="502"/>
      <c r="C3747" s="22"/>
      <c r="D3747" s="502"/>
    </row>
    <row r="3748" spans="1:4" x14ac:dyDescent="0.2">
      <c r="A3748" s="502"/>
      <c r="B3748" s="502"/>
      <c r="C3748" s="22"/>
      <c r="D3748" s="502"/>
    </row>
    <row r="3749" spans="1:4" x14ac:dyDescent="0.2">
      <c r="A3749" s="502"/>
      <c r="B3749" s="502"/>
      <c r="C3749" s="22"/>
      <c r="D3749" s="502"/>
    </row>
    <row r="3750" spans="1:4" x14ac:dyDescent="0.2">
      <c r="A3750" s="502"/>
      <c r="B3750" s="502"/>
      <c r="C3750" s="22"/>
      <c r="D3750" s="502"/>
    </row>
    <row r="3751" spans="1:4" x14ac:dyDescent="0.2">
      <c r="A3751" s="502"/>
      <c r="B3751" s="502"/>
      <c r="C3751" s="22"/>
      <c r="D3751" s="502"/>
    </row>
    <row r="3752" spans="1:4" x14ac:dyDescent="0.2">
      <c r="A3752" s="502"/>
      <c r="B3752" s="502"/>
      <c r="C3752" s="22"/>
      <c r="D3752" s="502"/>
    </row>
    <row r="3753" spans="1:4" x14ac:dyDescent="0.2">
      <c r="A3753" s="502"/>
      <c r="B3753" s="502"/>
      <c r="C3753" s="22"/>
      <c r="D3753" s="502"/>
    </row>
    <row r="3754" spans="1:4" x14ac:dyDescent="0.2">
      <c r="A3754" s="502"/>
      <c r="B3754" s="502"/>
      <c r="C3754" s="22"/>
      <c r="D3754" s="502"/>
    </row>
    <row r="3755" spans="1:4" x14ac:dyDescent="0.2">
      <c r="A3755" s="502"/>
      <c r="B3755" s="502"/>
      <c r="C3755" s="22"/>
      <c r="D3755" s="502"/>
    </row>
    <row r="3756" spans="1:4" x14ac:dyDescent="0.2">
      <c r="A3756" s="502"/>
      <c r="B3756" s="502"/>
      <c r="C3756" s="22"/>
      <c r="D3756" s="502"/>
    </row>
    <row r="3757" spans="1:4" x14ac:dyDescent="0.2">
      <c r="A3757" s="502"/>
      <c r="B3757" s="502"/>
      <c r="C3757" s="22"/>
      <c r="D3757" s="502"/>
    </row>
    <row r="3758" spans="1:4" x14ac:dyDescent="0.2">
      <c r="A3758" s="502"/>
      <c r="B3758" s="502"/>
      <c r="C3758" s="22"/>
      <c r="D3758" s="502"/>
    </row>
    <row r="3759" spans="1:4" x14ac:dyDescent="0.2">
      <c r="A3759" s="502"/>
      <c r="B3759" s="502"/>
      <c r="C3759" s="22"/>
      <c r="D3759" s="502"/>
    </row>
    <row r="3760" spans="1:4" x14ac:dyDescent="0.2">
      <c r="A3760" s="502"/>
      <c r="B3760" s="502"/>
      <c r="C3760" s="22"/>
      <c r="D3760" s="502"/>
    </row>
    <row r="3761" spans="1:4" x14ac:dyDescent="0.2">
      <c r="A3761" s="502"/>
      <c r="B3761" s="502"/>
      <c r="C3761" s="22"/>
      <c r="D3761" s="502"/>
    </row>
    <row r="3762" spans="1:4" x14ac:dyDescent="0.2">
      <c r="A3762" s="502"/>
      <c r="B3762" s="502"/>
      <c r="C3762" s="22"/>
      <c r="D3762" s="502"/>
    </row>
    <row r="3763" spans="1:4" x14ac:dyDescent="0.2">
      <c r="A3763" s="502"/>
      <c r="B3763" s="502"/>
      <c r="C3763" s="22"/>
      <c r="D3763" s="502"/>
    </row>
    <row r="3764" spans="1:4" x14ac:dyDescent="0.2">
      <c r="A3764" s="502"/>
      <c r="B3764" s="502"/>
      <c r="C3764" s="22"/>
      <c r="D3764" s="502"/>
    </row>
    <row r="3765" spans="1:4" x14ac:dyDescent="0.2">
      <c r="A3765" s="502"/>
      <c r="B3765" s="502"/>
      <c r="C3765" s="22"/>
      <c r="D3765" s="502"/>
    </row>
    <row r="3766" spans="1:4" x14ac:dyDescent="0.2">
      <c r="A3766" s="502"/>
      <c r="B3766" s="502"/>
      <c r="C3766" s="22"/>
      <c r="D3766" s="502"/>
    </row>
    <row r="3767" spans="1:4" x14ac:dyDescent="0.2">
      <c r="A3767" s="502"/>
      <c r="B3767" s="502"/>
      <c r="C3767" s="22"/>
      <c r="D3767" s="502"/>
    </row>
    <row r="3768" spans="1:4" x14ac:dyDescent="0.2">
      <c r="A3768" s="502"/>
      <c r="B3768" s="502"/>
      <c r="C3768" s="22"/>
      <c r="D3768" s="502"/>
    </row>
    <row r="3769" spans="1:4" x14ac:dyDescent="0.2">
      <c r="A3769" s="502"/>
      <c r="B3769" s="502"/>
      <c r="C3769" s="22"/>
      <c r="D3769" s="502"/>
    </row>
    <row r="3770" spans="1:4" x14ac:dyDescent="0.2">
      <c r="A3770" s="502"/>
      <c r="B3770" s="502"/>
      <c r="C3770" s="22"/>
      <c r="D3770" s="502"/>
    </row>
    <row r="3771" spans="1:4" x14ac:dyDescent="0.2">
      <c r="A3771" s="502"/>
      <c r="B3771" s="502"/>
      <c r="C3771" s="22"/>
      <c r="D3771" s="502"/>
    </row>
    <row r="3772" spans="1:4" x14ac:dyDescent="0.2">
      <c r="A3772" s="502"/>
      <c r="B3772" s="502"/>
      <c r="C3772" s="22"/>
      <c r="D3772" s="502"/>
    </row>
    <row r="3773" spans="1:4" x14ac:dyDescent="0.2">
      <c r="A3773" s="502"/>
      <c r="B3773" s="502"/>
      <c r="C3773" s="22"/>
      <c r="D3773" s="502"/>
    </row>
    <row r="3774" spans="1:4" x14ac:dyDescent="0.2">
      <c r="A3774" s="502"/>
      <c r="B3774" s="502"/>
      <c r="C3774" s="22"/>
      <c r="D3774" s="502"/>
    </row>
    <row r="3775" spans="1:4" x14ac:dyDescent="0.2">
      <c r="A3775" s="502"/>
      <c r="B3775" s="502"/>
      <c r="C3775" s="22"/>
      <c r="D3775" s="502"/>
    </row>
    <row r="3776" spans="1:4" x14ac:dyDescent="0.2">
      <c r="A3776" s="502"/>
      <c r="B3776" s="502"/>
      <c r="C3776" s="22"/>
      <c r="D3776" s="502"/>
    </row>
    <row r="3777" spans="1:4" x14ac:dyDescent="0.2">
      <c r="A3777" s="502"/>
      <c r="B3777" s="502"/>
      <c r="C3777" s="22"/>
      <c r="D3777" s="502"/>
    </row>
    <row r="3778" spans="1:4" x14ac:dyDescent="0.2">
      <c r="A3778" s="502"/>
      <c r="B3778" s="502"/>
      <c r="C3778" s="22"/>
      <c r="D3778" s="502"/>
    </row>
    <row r="3779" spans="1:4" x14ac:dyDescent="0.2">
      <c r="A3779" s="502"/>
      <c r="B3779" s="502"/>
      <c r="C3779" s="22"/>
      <c r="D3779" s="502"/>
    </row>
    <row r="3780" spans="1:4" x14ac:dyDescent="0.2">
      <c r="A3780" s="502"/>
      <c r="B3780" s="502"/>
      <c r="C3780" s="22"/>
      <c r="D3780" s="502"/>
    </row>
    <row r="3781" spans="1:4" x14ac:dyDescent="0.2">
      <c r="A3781" s="502"/>
      <c r="B3781" s="502"/>
      <c r="C3781" s="22"/>
      <c r="D3781" s="502"/>
    </row>
    <row r="3782" spans="1:4" x14ac:dyDescent="0.2">
      <c r="A3782" s="502"/>
      <c r="B3782" s="502"/>
      <c r="C3782" s="22"/>
      <c r="D3782" s="502"/>
    </row>
    <row r="3783" spans="1:4" x14ac:dyDescent="0.2">
      <c r="A3783" s="502"/>
      <c r="B3783" s="502"/>
      <c r="C3783" s="22"/>
      <c r="D3783" s="502"/>
    </row>
    <row r="3784" spans="1:4" x14ac:dyDescent="0.2">
      <c r="A3784" s="502"/>
      <c r="B3784" s="502"/>
      <c r="C3784" s="22"/>
      <c r="D3784" s="502"/>
    </row>
    <row r="3785" spans="1:4" x14ac:dyDescent="0.2">
      <c r="A3785" s="502"/>
      <c r="B3785" s="502"/>
      <c r="C3785" s="22"/>
      <c r="D3785" s="502"/>
    </row>
    <row r="3786" spans="1:4" x14ac:dyDescent="0.2">
      <c r="A3786" s="502"/>
      <c r="B3786" s="502"/>
      <c r="C3786" s="22"/>
      <c r="D3786" s="502"/>
    </row>
    <row r="3787" spans="1:4" x14ac:dyDescent="0.2">
      <c r="A3787" s="502"/>
      <c r="B3787" s="502"/>
      <c r="C3787" s="22"/>
      <c r="D3787" s="502"/>
    </row>
    <row r="3788" spans="1:4" x14ac:dyDescent="0.2">
      <c r="A3788" s="502"/>
      <c r="B3788" s="502"/>
      <c r="C3788" s="22"/>
      <c r="D3788" s="502"/>
    </row>
    <row r="3789" spans="1:4" x14ac:dyDescent="0.2">
      <c r="A3789" s="502"/>
      <c r="B3789" s="502"/>
      <c r="C3789" s="22"/>
      <c r="D3789" s="502"/>
    </row>
    <row r="3790" spans="1:4" x14ac:dyDescent="0.2">
      <c r="A3790" s="502"/>
      <c r="B3790" s="502"/>
      <c r="C3790" s="22"/>
      <c r="D3790" s="502"/>
    </row>
    <row r="3791" spans="1:4" x14ac:dyDescent="0.2">
      <c r="A3791" s="502"/>
      <c r="B3791" s="502"/>
      <c r="C3791" s="22"/>
      <c r="D3791" s="502"/>
    </row>
    <row r="3792" spans="1:4" x14ac:dyDescent="0.2">
      <c r="A3792" s="502"/>
      <c r="B3792" s="502"/>
      <c r="C3792" s="22"/>
      <c r="D3792" s="502"/>
    </row>
    <row r="3793" spans="1:4" x14ac:dyDescent="0.2">
      <c r="A3793" s="502"/>
      <c r="B3793" s="502"/>
      <c r="C3793" s="22"/>
      <c r="D3793" s="502"/>
    </row>
    <row r="3794" spans="1:4" x14ac:dyDescent="0.2">
      <c r="A3794" s="502"/>
      <c r="B3794" s="502"/>
      <c r="C3794" s="22"/>
      <c r="D3794" s="502"/>
    </row>
    <row r="3795" spans="1:4" x14ac:dyDescent="0.2">
      <c r="A3795" s="502"/>
      <c r="B3795" s="502"/>
      <c r="C3795" s="22"/>
      <c r="D3795" s="502"/>
    </row>
    <row r="3796" spans="1:4" x14ac:dyDescent="0.2">
      <c r="A3796" s="502"/>
      <c r="B3796" s="502"/>
      <c r="C3796" s="22"/>
      <c r="D3796" s="502"/>
    </row>
    <row r="3797" spans="1:4" x14ac:dyDescent="0.2">
      <c r="A3797" s="502"/>
      <c r="B3797" s="502"/>
      <c r="C3797" s="22"/>
      <c r="D3797" s="502"/>
    </row>
    <row r="3798" spans="1:4" x14ac:dyDescent="0.2">
      <c r="A3798" s="502"/>
      <c r="B3798" s="502"/>
      <c r="C3798" s="22"/>
      <c r="D3798" s="502"/>
    </row>
    <row r="3799" spans="1:4" x14ac:dyDescent="0.2">
      <c r="A3799" s="502"/>
      <c r="B3799" s="502"/>
      <c r="C3799" s="22"/>
      <c r="D3799" s="502"/>
    </row>
    <row r="3800" spans="1:4" x14ac:dyDescent="0.2">
      <c r="A3800" s="502"/>
      <c r="B3800" s="502"/>
      <c r="C3800" s="22"/>
      <c r="D3800" s="502"/>
    </row>
    <row r="3801" spans="1:4" x14ac:dyDescent="0.2">
      <c r="A3801" s="502"/>
      <c r="B3801" s="502"/>
      <c r="C3801" s="22"/>
      <c r="D3801" s="502"/>
    </row>
    <row r="3802" spans="1:4" x14ac:dyDescent="0.2">
      <c r="A3802" s="502"/>
      <c r="B3802" s="502"/>
      <c r="C3802" s="22"/>
      <c r="D3802" s="502"/>
    </row>
    <row r="3803" spans="1:4" x14ac:dyDescent="0.2">
      <c r="A3803" s="502"/>
      <c r="B3803" s="502"/>
      <c r="C3803" s="22"/>
      <c r="D3803" s="502"/>
    </row>
    <row r="3804" spans="1:4" x14ac:dyDescent="0.2">
      <c r="A3804" s="502"/>
      <c r="B3804" s="502"/>
      <c r="C3804" s="22"/>
      <c r="D3804" s="502"/>
    </row>
    <row r="3805" spans="1:4" x14ac:dyDescent="0.2">
      <c r="A3805" s="502"/>
      <c r="B3805" s="502"/>
      <c r="C3805" s="22"/>
      <c r="D3805" s="502"/>
    </row>
    <row r="3806" spans="1:4" x14ac:dyDescent="0.2">
      <c r="A3806" s="502"/>
      <c r="B3806" s="502"/>
      <c r="C3806" s="22"/>
      <c r="D3806" s="502"/>
    </row>
    <row r="3807" spans="1:4" x14ac:dyDescent="0.2">
      <c r="A3807" s="502"/>
      <c r="B3807" s="502"/>
      <c r="C3807" s="22"/>
      <c r="D3807" s="502"/>
    </row>
    <row r="3808" spans="1:4" x14ac:dyDescent="0.2">
      <c r="A3808" s="502"/>
      <c r="B3808" s="502"/>
      <c r="C3808" s="22"/>
      <c r="D3808" s="502"/>
    </row>
    <row r="3809" spans="1:4" x14ac:dyDescent="0.2">
      <c r="A3809" s="502"/>
      <c r="B3809" s="502"/>
      <c r="C3809" s="22"/>
      <c r="D3809" s="502"/>
    </row>
    <row r="3810" spans="1:4" x14ac:dyDescent="0.2">
      <c r="A3810" s="502"/>
      <c r="B3810" s="502"/>
      <c r="C3810" s="22"/>
      <c r="D3810" s="502"/>
    </row>
    <row r="3811" spans="1:4" x14ac:dyDescent="0.2">
      <c r="A3811" s="502"/>
      <c r="B3811" s="502"/>
      <c r="C3811" s="22"/>
      <c r="D3811" s="502"/>
    </row>
    <row r="3812" spans="1:4" x14ac:dyDescent="0.2">
      <c r="A3812" s="502"/>
      <c r="B3812" s="502"/>
      <c r="C3812" s="22"/>
      <c r="D3812" s="502"/>
    </row>
    <row r="3813" spans="1:4" x14ac:dyDescent="0.2">
      <c r="A3813" s="502"/>
      <c r="B3813" s="502"/>
      <c r="C3813" s="22"/>
      <c r="D3813" s="502"/>
    </row>
    <row r="3814" spans="1:4" x14ac:dyDescent="0.2">
      <c r="A3814" s="502"/>
      <c r="B3814" s="502"/>
      <c r="C3814" s="22"/>
      <c r="D3814" s="502"/>
    </row>
    <row r="3815" spans="1:4" x14ac:dyDescent="0.2">
      <c r="A3815" s="502"/>
      <c r="B3815" s="502"/>
      <c r="C3815" s="22"/>
      <c r="D3815" s="502"/>
    </row>
    <row r="3816" spans="1:4" x14ac:dyDescent="0.2">
      <c r="A3816" s="502"/>
      <c r="B3816" s="502"/>
      <c r="C3816" s="22"/>
      <c r="D3816" s="502"/>
    </row>
    <row r="3817" spans="1:4" x14ac:dyDescent="0.2">
      <c r="A3817" s="502"/>
      <c r="B3817" s="502"/>
      <c r="C3817" s="22"/>
      <c r="D3817" s="502"/>
    </row>
    <row r="3818" spans="1:4" x14ac:dyDescent="0.2">
      <c r="A3818" s="502"/>
      <c r="B3818" s="502"/>
      <c r="C3818" s="22"/>
      <c r="D3818" s="502"/>
    </row>
    <row r="3819" spans="1:4" x14ac:dyDescent="0.2">
      <c r="A3819" s="502"/>
      <c r="B3819" s="502"/>
      <c r="C3819" s="22"/>
      <c r="D3819" s="502"/>
    </row>
    <row r="3820" spans="1:4" x14ac:dyDescent="0.2">
      <c r="A3820" s="502"/>
      <c r="B3820" s="502"/>
      <c r="C3820" s="22"/>
      <c r="D3820" s="502"/>
    </row>
    <row r="3821" spans="1:4" x14ac:dyDescent="0.2">
      <c r="A3821" s="502"/>
      <c r="B3821" s="502"/>
      <c r="C3821" s="22"/>
      <c r="D3821" s="502"/>
    </row>
    <row r="3822" spans="1:4" x14ac:dyDescent="0.2">
      <c r="A3822" s="502"/>
      <c r="B3822" s="502"/>
      <c r="C3822" s="22"/>
      <c r="D3822" s="502"/>
    </row>
    <row r="3823" spans="1:4" x14ac:dyDescent="0.2">
      <c r="A3823" s="502"/>
      <c r="B3823" s="502"/>
      <c r="C3823" s="22"/>
      <c r="D3823" s="502"/>
    </row>
    <row r="3824" spans="1:4" x14ac:dyDescent="0.2">
      <c r="A3824" s="502"/>
      <c r="B3824" s="502"/>
      <c r="C3824" s="22"/>
      <c r="D3824" s="502"/>
    </row>
    <row r="3825" spans="1:4" x14ac:dyDescent="0.2">
      <c r="A3825" s="502"/>
      <c r="B3825" s="502"/>
      <c r="C3825" s="22"/>
      <c r="D3825" s="502"/>
    </row>
    <row r="3826" spans="1:4" x14ac:dyDescent="0.2">
      <c r="A3826" s="502"/>
      <c r="B3826" s="502"/>
      <c r="C3826" s="22"/>
      <c r="D3826" s="502"/>
    </row>
    <row r="3827" spans="1:4" x14ac:dyDescent="0.2">
      <c r="A3827" s="502"/>
      <c r="B3827" s="502"/>
      <c r="C3827" s="22"/>
      <c r="D3827" s="502"/>
    </row>
    <row r="3828" spans="1:4" x14ac:dyDescent="0.2">
      <c r="A3828" s="502"/>
      <c r="B3828" s="502"/>
      <c r="C3828" s="22"/>
      <c r="D3828" s="502"/>
    </row>
    <row r="3829" spans="1:4" x14ac:dyDescent="0.2">
      <c r="A3829" s="502"/>
      <c r="B3829" s="502"/>
      <c r="C3829" s="22"/>
      <c r="D3829" s="502"/>
    </row>
    <row r="3830" spans="1:4" x14ac:dyDescent="0.2">
      <c r="A3830" s="502"/>
      <c r="B3830" s="502"/>
      <c r="C3830" s="22"/>
      <c r="D3830" s="502"/>
    </row>
    <row r="3831" spans="1:4" x14ac:dyDescent="0.2">
      <c r="A3831" s="502"/>
      <c r="B3831" s="502"/>
      <c r="C3831" s="22"/>
      <c r="D3831" s="502"/>
    </row>
    <row r="3832" spans="1:4" x14ac:dyDescent="0.2">
      <c r="A3832" s="502"/>
      <c r="B3832" s="502"/>
      <c r="C3832" s="22"/>
      <c r="D3832" s="502"/>
    </row>
    <row r="3833" spans="1:4" x14ac:dyDescent="0.2">
      <c r="A3833" s="502"/>
      <c r="B3833" s="502"/>
      <c r="C3833" s="22"/>
      <c r="D3833" s="502"/>
    </row>
    <row r="3834" spans="1:4" x14ac:dyDescent="0.2">
      <c r="A3834" s="502"/>
      <c r="B3834" s="502"/>
      <c r="C3834" s="22"/>
      <c r="D3834" s="502"/>
    </row>
    <row r="3835" spans="1:4" x14ac:dyDescent="0.2">
      <c r="A3835" s="502"/>
      <c r="B3835" s="502"/>
      <c r="C3835" s="22"/>
      <c r="D3835" s="502"/>
    </row>
    <row r="3836" spans="1:4" x14ac:dyDescent="0.2">
      <c r="A3836" s="502"/>
      <c r="B3836" s="502"/>
      <c r="C3836" s="22"/>
      <c r="D3836" s="502"/>
    </row>
    <row r="3837" spans="1:4" x14ac:dyDescent="0.2">
      <c r="A3837" s="502"/>
      <c r="B3837" s="502"/>
      <c r="C3837" s="22"/>
      <c r="D3837" s="502"/>
    </row>
    <row r="3838" spans="1:4" x14ac:dyDescent="0.2">
      <c r="A3838" s="502"/>
      <c r="B3838" s="502"/>
      <c r="C3838" s="22"/>
      <c r="D3838" s="502"/>
    </row>
    <row r="3839" spans="1:4" x14ac:dyDescent="0.2">
      <c r="A3839" s="502"/>
      <c r="B3839" s="502"/>
      <c r="C3839" s="22"/>
      <c r="D3839" s="502"/>
    </row>
    <row r="3840" spans="1:4" x14ac:dyDescent="0.2">
      <c r="A3840" s="502"/>
      <c r="B3840" s="502"/>
      <c r="C3840" s="22"/>
      <c r="D3840" s="502"/>
    </row>
    <row r="3841" spans="1:4" x14ac:dyDescent="0.2">
      <c r="A3841" s="502"/>
      <c r="B3841" s="502"/>
      <c r="C3841" s="22"/>
      <c r="D3841" s="502"/>
    </row>
    <row r="3842" spans="1:4" x14ac:dyDescent="0.2">
      <c r="A3842" s="502"/>
      <c r="B3842" s="502"/>
      <c r="C3842" s="22"/>
      <c r="D3842" s="502"/>
    </row>
    <row r="3843" spans="1:4" x14ac:dyDescent="0.2">
      <c r="A3843" s="502"/>
      <c r="B3843" s="502"/>
      <c r="C3843" s="22"/>
      <c r="D3843" s="502"/>
    </row>
    <row r="3844" spans="1:4" x14ac:dyDescent="0.2">
      <c r="A3844" s="502"/>
      <c r="B3844" s="502"/>
      <c r="C3844" s="22"/>
      <c r="D3844" s="502"/>
    </row>
    <row r="3845" spans="1:4" x14ac:dyDescent="0.2">
      <c r="A3845" s="502"/>
      <c r="B3845" s="502"/>
      <c r="C3845" s="22"/>
      <c r="D3845" s="502"/>
    </row>
    <row r="3846" spans="1:4" x14ac:dyDescent="0.2">
      <c r="A3846" s="502"/>
      <c r="B3846" s="502"/>
      <c r="C3846" s="22"/>
      <c r="D3846" s="502"/>
    </row>
    <row r="3847" spans="1:4" x14ac:dyDescent="0.2">
      <c r="A3847" s="502"/>
      <c r="B3847" s="502"/>
      <c r="C3847" s="22"/>
      <c r="D3847" s="502"/>
    </row>
    <row r="3848" spans="1:4" x14ac:dyDescent="0.2">
      <c r="A3848" s="502"/>
      <c r="B3848" s="502"/>
      <c r="C3848" s="22"/>
      <c r="D3848" s="502"/>
    </row>
    <row r="3849" spans="1:4" x14ac:dyDescent="0.2">
      <c r="A3849" s="502"/>
      <c r="B3849" s="502"/>
      <c r="C3849" s="22"/>
      <c r="D3849" s="502"/>
    </row>
    <row r="3850" spans="1:4" x14ac:dyDescent="0.2">
      <c r="A3850" s="502"/>
      <c r="B3850" s="502"/>
      <c r="C3850" s="22"/>
      <c r="D3850" s="502"/>
    </row>
    <row r="3851" spans="1:4" x14ac:dyDescent="0.2">
      <c r="A3851" s="502"/>
      <c r="B3851" s="502"/>
      <c r="C3851" s="22"/>
      <c r="D3851" s="502"/>
    </row>
    <row r="3852" spans="1:4" x14ac:dyDescent="0.2">
      <c r="A3852" s="502"/>
      <c r="B3852" s="502"/>
      <c r="C3852" s="22"/>
      <c r="D3852" s="502"/>
    </row>
    <row r="3853" spans="1:4" x14ac:dyDescent="0.2">
      <c r="A3853" s="502"/>
      <c r="B3853" s="502"/>
      <c r="C3853" s="22"/>
      <c r="D3853" s="502"/>
    </row>
    <row r="3854" spans="1:4" x14ac:dyDescent="0.2">
      <c r="A3854" s="502"/>
      <c r="B3854" s="502"/>
      <c r="C3854" s="22"/>
      <c r="D3854" s="502"/>
    </row>
    <row r="3855" spans="1:4" x14ac:dyDescent="0.2">
      <c r="A3855" s="502"/>
      <c r="B3855" s="502"/>
      <c r="C3855" s="22"/>
      <c r="D3855" s="502"/>
    </row>
    <row r="3856" spans="1:4" x14ac:dyDescent="0.2">
      <c r="A3856" s="502"/>
      <c r="B3856" s="502"/>
      <c r="C3856" s="22"/>
      <c r="D3856" s="502"/>
    </row>
    <row r="3857" spans="1:4" x14ac:dyDescent="0.2">
      <c r="A3857" s="502"/>
      <c r="B3857" s="502"/>
      <c r="C3857" s="22"/>
      <c r="D3857" s="502"/>
    </row>
    <row r="3858" spans="1:4" x14ac:dyDescent="0.2">
      <c r="A3858" s="502"/>
      <c r="B3858" s="502"/>
      <c r="C3858" s="22"/>
      <c r="D3858" s="502"/>
    </row>
    <row r="3859" spans="1:4" x14ac:dyDescent="0.2">
      <c r="A3859" s="502"/>
      <c r="B3859" s="502"/>
      <c r="C3859" s="22"/>
      <c r="D3859" s="502"/>
    </row>
    <row r="3860" spans="1:4" x14ac:dyDescent="0.2">
      <c r="A3860" s="502"/>
      <c r="B3860" s="502"/>
      <c r="C3860" s="22"/>
      <c r="D3860" s="502"/>
    </row>
    <row r="3861" spans="1:4" x14ac:dyDescent="0.2">
      <c r="A3861" s="502"/>
      <c r="B3861" s="502"/>
      <c r="C3861" s="22"/>
      <c r="D3861" s="502"/>
    </row>
    <row r="3862" spans="1:4" x14ac:dyDescent="0.2">
      <c r="A3862" s="502"/>
      <c r="B3862" s="502"/>
      <c r="C3862" s="22"/>
      <c r="D3862" s="502"/>
    </row>
    <row r="3863" spans="1:4" x14ac:dyDescent="0.2">
      <c r="A3863" s="502"/>
      <c r="B3863" s="502"/>
      <c r="C3863" s="22"/>
      <c r="D3863" s="502"/>
    </row>
    <row r="3864" spans="1:4" x14ac:dyDescent="0.2">
      <c r="A3864" s="502"/>
      <c r="B3864" s="502"/>
      <c r="C3864" s="22"/>
      <c r="D3864" s="502"/>
    </row>
    <row r="3865" spans="1:4" x14ac:dyDescent="0.2">
      <c r="A3865" s="502"/>
      <c r="B3865" s="502"/>
      <c r="C3865" s="22"/>
      <c r="D3865" s="502"/>
    </row>
    <row r="3866" spans="1:4" x14ac:dyDescent="0.2">
      <c r="A3866" s="502"/>
      <c r="B3866" s="502"/>
      <c r="C3866" s="22"/>
      <c r="D3866" s="502"/>
    </row>
    <row r="3867" spans="1:4" x14ac:dyDescent="0.2">
      <c r="A3867" s="502"/>
      <c r="B3867" s="502"/>
      <c r="C3867" s="22"/>
      <c r="D3867" s="502"/>
    </row>
    <row r="3868" spans="1:4" x14ac:dyDescent="0.2">
      <c r="A3868" s="502"/>
      <c r="B3868" s="502"/>
      <c r="C3868" s="22"/>
      <c r="D3868" s="502"/>
    </row>
    <row r="3869" spans="1:4" x14ac:dyDescent="0.2">
      <c r="A3869" s="502"/>
      <c r="B3869" s="502"/>
      <c r="C3869" s="22"/>
      <c r="D3869" s="502"/>
    </row>
    <row r="3870" spans="1:4" x14ac:dyDescent="0.2">
      <c r="A3870" s="502"/>
      <c r="B3870" s="502"/>
      <c r="C3870" s="22"/>
      <c r="D3870" s="502"/>
    </row>
    <row r="3871" spans="1:4" x14ac:dyDescent="0.2">
      <c r="A3871" s="502"/>
      <c r="B3871" s="502"/>
      <c r="C3871" s="22"/>
      <c r="D3871" s="502"/>
    </row>
    <row r="3872" spans="1:4" x14ac:dyDescent="0.2">
      <c r="A3872" s="502"/>
      <c r="B3872" s="502"/>
      <c r="C3872" s="22"/>
      <c r="D3872" s="502"/>
    </row>
    <row r="3873" spans="1:4" x14ac:dyDescent="0.2">
      <c r="A3873" s="502"/>
      <c r="B3873" s="502"/>
      <c r="C3873" s="22"/>
      <c r="D3873" s="502"/>
    </row>
    <row r="3874" spans="1:4" x14ac:dyDescent="0.2">
      <c r="A3874" s="502"/>
      <c r="B3874" s="502"/>
      <c r="C3874" s="22"/>
      <c r="D3874" s="502"/>
    </row>
    <row r="3875" spans="1:4" x14ac:dyDescent="0.2">
      <c r="A3875" s="502"/>
      <c r="B3875" s="502"/>
      <c r="C3875" s="22"/>
      <c r="D3875" s="502"/>
    </row>
    <row r="3876" spans="1:4" x14ac:dyDescent="0.2">
      <c r="A3876" s="502"/>
      <c r="B3876" s="502"/>
      <c r="C3876" s="22"/>
      <c r="D3876" s="502"/>
    </row>
    <row r="3877" spans="1:4" x14ac:dyDescent="0.2">
      <c r="A3877" s="502"/>
      <c r="B3877" s="502"/>
      <c r="C3877" s="22"/>
      <c r="D3877" s="502"/>
    </row>
    <row r="3878" spans="1:4" x14ac:dyDescent="0.2">
      <c r="A3878" s="502"/>
      <c r="B3878" s="502"/>
      <c r="C3878" s="22"/>
      <c r="D3878" s="502"/>
    </row>
    <row r="3879" spans="1:4" x14ac:dyDescent="0.2">
      <c r="A3879" s="502"/>
      <c r="B3879" s="502"/>
      <c r="C3879" s="22"/>
      <c r="D3879" s="502"/>
    </row>
    <row r="3880" spans="1:4" x14ac:dyDescent="0.2">
      <c r="A3880" s="502"/>
      <c r="B3880" s="502"/>
      <c r="C3880" s="22"/>
      <c r="D3880" s="502"/>
    </row>
    <row r="3881" spans="1:4" x14ac:dyDescent="0.2">
      <c r="A3881" s="502"/>
      <c r="B3881" s="502"/>
      <c r="C3881" s="22"/>
      <c r="D3881" s="502"/>
    </row>
    <row r="3882" spans="1:4" x14ac:dyDescent="0.2">
      <c r="A3882" s="502"/>
      <c r="B3882" s="502"/>
      <c r="C3882" s="22"/>
      <c r="D3882" s="502"/>
    </row>
    <row r="3883" spans="1:4" x14ac:dyDescent="0.2">
      <c r="A3883" s="502"/>
      <c r="B3883" s="502"/>
      <c r="C3883" s="22"/>
      <c r="D3883" s="502"/>
    </row>
    <row r="3884" spans="1:4" x14ac:dyDescent="0.2">
      <c r="A3884" s="502"/>
      <c r="B3884" s="502"/>
      <c r="C3884" s="22"/>
      <c r="D3884" s="502"/>
    </row>
    <row r="3885" spans="1:4" x14ac:dyDescent="0.2">
      <c r="A3885" s="502"/>
      <c r="B3885" s="502"/>
      <c r="C3885" s="22"/>
      <c r="D3885" s="502"/>
    </row>
    <row r="3886" spans="1:4" x14ac:dyDescent="0.2">
      <c r="A3886" s="502"/>
      <c r="B3886" s="502"/>
      <c r="C3886" s="22"/>
      <c r="D3886" s="502"/>
    </row>
    <row r="3887" spans="1:4" x14ac:dyDescent="0.2">
      <c r="A3887" s="502"/>
      <c r="B3887" s="502"/>
      <c r="C3887" s="22"/>
      <c r="D3887" s="502"/>
    </row>
    <row r="3888" spans="1:4" x14ac:dyDescent="0.2">
      <c r="A3888" s="502"/>
      <c r="B3888" s="502"/>
      <c r="C3888" s="22"/>
      <c r="D3888" s="502"/>
    </row>
    <row r="3889" spans="1:4" x14ac:dyDescent="0.2">
      <c r="A3889" s="502"/>
      <c r="B3889" s="502"/>
      <c r="C3889" s="22"/>
      <c r="D3889" s="502"/>
    </row>
    <row r="3890" spans="1:4" x14ac:dyDescent="0.2">
      <c r="A3890" s="502"/>
      <c r="B3890" s="502"/>
      <c r="C3890" s="22"/>
      <c r="D3890" s="502"/>
    </row>
    <row r="3891" spans="1:4" x14ac:dyDescent="0.2">
      <c r="A3891" s="502"/>
      <c r="B3891" s="502"/>
      <c r="C3891" s="22"/>
      <c r="D3891" s="502"/>
    </row>
    <row r="3892" spans="1:4" x14ac:dyDescent="0.2">
      <c r="A3892" s="502"/>
      <c r="B3892" s="502"/>
      <c r="C3892" s="22"/>
      <c r="D3892" s="502"/>
    </row>
    <row r="3893" spans="1:4" x14ac:dyDescent="0.2">
      <c r="A3893" s="502"/>
      <c r="B3893" s="502"/>
      <c r="C3893" s="22"/>
      <c r="D3893" s="502"/>
    </row>
    <row r="3894" spans="1:4" x14ac:dyDescent="0.2">
      <c r="A3894" s="502"/>
      <c r="B3894" s="502"/>
      <c r="C3894" s="22"/>
      <c r="D3894" s="502"/>
    </row>
    <row r="3895" spans="1:4" x14ac:dyDescent="0.2">
      <c r="A3895" s="502"/>
      <c r="B3895" s="502"/>
      <c r="C3895" s="22"/>
      <c r="D3895" s="502"/>
    </row>
    <row r="3896" spans="1:4" x14ac:dyDescent="0.2">
      <c r="A3896" s="502"/>
      <c r="B3896" s="502"/>
      <c r="C3896" s="22"/>
      <c r="D3896" s="502"/>
    </row>
    <row r="3897" spans="1:4" x14ac:dyDescent="0.2">
      <c r="A3897" s="502"/>
      <c r="B3897" s="502"/>
      <c r="C3897" s="22"/>
      <c r="D3897" s="502"/>
    </row>
    <row r="3898" spans="1:4" x14ac:dyDescent="0.2">
      <c r="A3898" s="502"/>
      <c r="B3898" s="502"/>
      <c r="C3898" s="22"/>
      <c r="D3898" s="502"/>
    </row>
    <row r="3899" spans="1:4" x14ac:dyDescent="0.2">
      <c r="A3899" s="502"/>
      <c r="B3899" s="502"/>
      <c r="C3899" s="22"/>
      <c r="D3899" s="502"/>
    </row>
    <row r="3900" spans="1:4" x14ac:dyDescent="0.2">
      <c r="A3900" s="502"/>
      <c r="B3900" s="502"/>
      <c r="C3900" s="22"/>
      <c r="D3900" s="502"/>
    </row>
    <row r="3901" spans="1:4" x14ac:dyDescent="0.2">
      <c r="A3901" s="502"/>
      <c r="B3901" s="502"/>
      <c r="C3901" s="22"/>
      <c r="D3901" s="502"/>
    </row>
    <row r="3902" spans="1:4" x14ac:dyDescent="0.2">
      <c r="A3902" s="502"/>
      <c r="B3902" s="502"/>
      <c r="C3902" s="22"/>
      <c r="D3902" s="502"/>
    </row>
    <row r="3903" spans="1:4" x14ac:dyDescent="0.2">
      <c r="A3903" s="502"/>
      <c r="B3903" s="502"/>
      <c r="C3903" s="22"/>
      <c r="D3903" s="502"/>
    </row>
    <row r="3904" spans="1:4" x14ac:dyDescent="0.2">
      <c r="A3904" s="502"/>
      <c r="B3904" s="502"/>
      <c r="C3904" s="22"/>
      <c r="D3904" s="502"/>
    </row>
    <row r="3905" spans="1:4" x14ac:dyDescent="0.2">
      <c r="A3905" s="502"/>
      <c r="B3905" s="502"/>
      <c r="C3905" s="22"/>
      <c r="D3905" s="502"/>
    </row>
    <row r="3906" spans="1:4" x14ac:dyDescent="0.2">
      <c r="A3906" s="502"/>
      <c r="B3906" s="502"/>
      <c r="C3906" s="22"/>
      <c r="D3906" s="502"/>
    </row>
    <row r="3907" spans="1:4" x14ac:dyDescent="0.2">
      <c r="A3907" s="502"/>
      <c r="B3907" s="502"/>
      <c r="C3907" s="22"/>
      <c r="D3907" s="502"/>
    </row>
    <row r="3908" spans="1:4" x14ac:dyDescent="0.2">
      <c r="A3908" s="502"/>
      <c r="B3908" s="502"/>
      <c r="C3908" s="22"/>
      <c r="D3908" s="502"/>
    </row>
    <row r="3909" spans="1:4" x14ac:dyDescent="0.2">
      <c r="A3909" s="502"/>
      <c r="B3909" s="502"/>
      <c r="C3909" s="22"/>
      <c r="D3909" s="502"/>
    </row>
    <row r="3910" spans="1:4" x14ac:dyDescent="0.2">
      <c r="A3910" s="502"/>
      <c r="B3910" s="502"/>
      <c r="C3910" s="22"/>
      <c r="D3910" s="502"/>
    </row>
    <row r="3911" spans="1:4" x14ac:dyDescent="0.2">
      <c r="A3911" s="502"/>
      <c r="B3911" s="502"/>
      <c r="C3911" s="22"/>
      <c r="D3911" s="502"/>
    </row>
    <row r="3912" spans="1:4" x14ac:dyDescent="0.2">
      <c r="A3912" s="502"/>
      <c r="B3912" s="502"/>
      <c r="C3912" s="22"/>
      <c r="D3912" s="502"/>
    </row>
    <row r="3913" spans="1:4" x14ac:dyDescent="0.2">
      <c r="A3913" s="502"/>
      <c r="B3913" s="502"/>
      <c r="C3913" s="22"/>
      <c r="D3913" s="502"/>
    </row>
    <row r="3914" spans="1:4" x14ac:dyDescent="0.2">
      <c r="A3914" s="502"/>
      <c r="B3914" s="502"/>
      <c r="C3914" s="22"/>
      <c r="D3914" s="502"/>
    </row>
    <row r="3915" spans="1:4" x14ac:dyDescent="0.2">
      <c r="A3915" s="502"/>
      <c r="B3915" s="502"/>
      <c r="C3915" s="22"/>
      <c r="D3915" s="502"/>
    </row>
    <row r="3916" spans="1:4" x14ac:dyDescent="0.2">
      <c r="A3916" s="502"/>
      <c r="B3916" s="502"/>
      <c r="C3916" s="22"/>
      <c r="D3916" s="502"/>
    </row>
    <row r="3917" spans="1:4" x14ac:dyDescent="0.2">
      <c r="A3917" s="502"/>
      <c r="B3917" s="502"/>
      <c r="C3917" s="22"/>
      <c r="D3917" s="502"/>
    </row>
    <row r="3918" spans="1:4" x14ac:dyDescent="0.2">
      <c r="A3918" s="502"/>
      <c r="B3918" s="502"/>
      <c r="C3918" s="22"/>
      <c r="D3918" s="502"/>
    </row>
    <row r="3919" spans="1:4" x14ac:dyDescent="0.2">
      <c r="A3919" s="502"/>
      <c r="B3919" s="502"/>
      <c r="C3919" s="22"/>
      <c r="D3919" s="502"/>
    </row>
    <row r="3920" spans="1:4" x14ac:dyDescent="0.2">
      <c r="A3920" s="502"/>
      <c r="B3920" s="502"/>
      <c r="C3920" s="22"/>
      <c r="D3920" s="502"/>
    </row>
    <row r="3921" spans="1:4" x14ac:dyDescent="0.2">
      <c r="A3921" s="502"/>
      <c r="B3921" s="502"/>
      <c r="C3921" s="22"/>
      <c r="D3921" s="502"/>
    </row>
    <row r="3922" spans="1:4" x14ac:dyDescent="0.2">
      <c r="A3922" s="502"/>
      <c r="B3922" s="502"/>
      <c r="C3922" s="22"/>
      <c r="D3922" s="502"/>
    </row>
    <row r="3923" spans="1:4" x14ac:dyDescent="0.2">
      <c r="A3923" s="502"/>
      <c r="B3923" s="502"/>
      <c r="C3923" s="22"/>
      <c r="D3923" s="502"/>
    </row>
    <row r="3924" spans="1:4" x14ac:dyDescent="0.2">
      <c r="A3924" s="502"/>
      <c r="B3924" s="502"/>
      <c r="C3924" s="22"/>
      <c r="D3924" s="502"/>
    </row>
    <row r="3925" spans="1:4" x14ac:dyDescent="0.2">
      <c r="A3925" s="502"/>
      <c r="B3925" s="502"/>
      <c r="C3925" s="22"/>
      <c r="D3925" s="502"/>
    </row>
    <row r="3926" spans="1:4" x14ac:dyDescent="0.2">
      <c r="A3926" s="502"/>
      <c r="B3926" s="502"/>
      <c r="C3926" s="22"/>
      <c r="D3926" s="502"/>
    </row>
    <row r="3927" spans="1:4" x14ac:dyDescent="0.2">
      <c r="A3927" s="502"/>
      <c r="B3927" s="502"/>
      <c r="C3927" s="22"/>
      <c r="D3927" s="502"/>
    </row>
    <row r="3928" spans="1:4" x14ac:dyDescent="0.2">
      <c r="A3928" s="502"/>
      <c r="B3928" s="502"/>
      <c r="C3928" s="22"/>
      <c r="D3928" s="502"/>
    </row>
    <row r="3929" spans="1:4" x14ac:dyDescent="0.2">
      <c r="A3929" s="502"/>
      <c r="B3929" s="502"/>
      <c r="C3929" s="22"/>
      <c r="D3929" s="502"/>
    </row>
    <row r="3930" spans="1:4" x14ac:dyDescent="0.2">
      <c r="A3930" s="502"/>
      <c r="B3930" s="502"/>
      <c r="C3930" s="22"/>
      <c r="D3930" s="502"/>
    </row>
    <row r="3931" spans="1:4" x14ac:dyDescent="0.2">
      <c r="A3931" s="502"/>
      <c r="B3931" s="502"/>
      <c r="C3931" s="22"/>
      <c r="D3931" s="502"/>
    </row>
    <row r="3932" spans="1:4" x14ac:dyDescent="0.2">
      <c r="A3932" s="502"/>
      <c r="B3932" s="502"/>
      <c r="C3932" s="22"/>
      <c r="D3932" s="502"/>
    </row>
    <row r="3933" spans="1:4" x14ac:dyDescent="0.2">
      <c r="A3933" s="502"/>
      <c r="B3933" s="502"/>
      <c r="C3933" s="22"/>
      <c r="D3933" s="502"/>
    </row>
    <row r="3934" spans="1:4" x14ac:dyDescent="0.2">
      <c r="A3934" s="502"/>
      <c r="B3934" s="502"/>
      <c r="C3934" s="22"/>
      <c r="D3934" s="502"/>
    </row>
    <row r="3935" spans="1:4" x14ac:dyDescent="0.2">
      <c r="A3935" s="502"/>
      <c r="B3935" s="502"/>
      <c r="C3935" s="22"/>
      <c r="D3935" s="502"/>
    </row>
    <row r="3936" spans="1:4" x14ac:dyDescent="0.2">
      <c r="A3936" s="502"/>
      <c r="B3936" s="502"/>
      <c r="C3936" s="22"/>
      <c r="D3936" s="502"/>
    </row>
    <row r="3937" spans="1:4" x14ac:dyDescent="0.2">
      <c r="A3937" s="502"/>
      <c r="B3937" s="502"/>
      <c r="C3937" s="22"/>
      <c r="D3937" s="502"/>
    </row>
    <row r="3938" spans="1:4" x14ac:dyDescent="0.2">
      <c r="A3938" s="502"/>
      <c r="B3938" s="502"/>
      <c r="C3938" s="22"/>
      <c r="D3938" s="502"/>
    </row>
    <row r="3939" spans="1:4" x14ac:dyDescent="0.2">
      <c r="A3939" s="502"/>
      <c r="B3939" s="502"/>
      <c r="C3939" s="22"/>
      <c r="D3939" s="502"/>
    </row>
    <row r="3940" spans="1:4" x14ac:dyDescent="0.2">
      <c r="A3940" s="502"/>
      <c r="B3940" s="502"/>
      <c r="C3940" s="22"/>
      <c r="D3940" s="502"/>
    </row>
    <row r="3941" spans="1:4" x14ac:dyDescent="0.2">
      <c r="A3941" s="502"/>
      <c r="B3941" s="502"/>
      <c r="C3941" s="22"/>
      <c r="D3941" s="502"/>
    </row>
    <row r="3942" spans="1:4" x14ac:dyDescent="0.2">
      <c r="A3942" s="502"/>
      <c r="B3942" s="502"/>
      <c r="C3942" s="22"/>
      <c r="D3942" s="502"/>
    </row>
    <row r="3943" spans="1:4" x14ac:dyDescent="0.2">
      <c r="A3943" s="502"/>
      <c r="B3943" s="502"/>
      <c r="C3943" s="22"/>
      <c r="D3943" s="502"/>
    </row>
    <row r="3944" spans="1:4" x14ac:dyDescent="0.2">
      <c r="A3944" s="502"/>
      <c r="B3944" s="502"/>
      <c r="C3944" s="22"/>
      <c r="D3944" s="502"/>
    </row>
    <row r="3945" spans="1:4" x14ac:dyDescent="0.2">
      <c r="A3945" s="502"/>
      <c r="B3945" s="502"/>
      <c r="C3945" s="22"/>
      <c r="D3945" s="502"/>
    </row>
    <row r="3946" spans="1:4" x14ac:dyDescent="0.2">
      <c r="A3946" s="502"/>
      <c r="B3946" s="502"/>
      <c r="C3946" s="22"/>
      <c r="D3946" s="502"/>
    </row>
    <row r="3947" spans="1:4" x14ac:dyDescent="0.2">
      <c r="A3947" s="502"/>
      <c r="B3947" s="502"/>
      <c r="C3947" s="22"/>
      <c r="D3947" s="502"/>
    </row>
    <row r="3948" spans="1:4" x14ac:dyDescent="0.2">
      <c r="A3948" s="502"/>
      <c r="B3948" s="502"/>
      <c r="C3948" s="22"/>
      <c r="D3948" s="502"/>
    </row>
    <row r="3949" spans="1:4" x14ac:dyDescent="0.2">
      <c r="A3949" s="502"/>
      <c r="B3949" s="502"/>
      <c r="C3949" s="22"/>
      <c r="D3949" s="502"/>
    </row>
    <row r="3950" spans="1:4" x14ac:dyDescent="0.2">
      <c r="A3950" s="502"/>
      <c r="B3950" s="502"/>
      <c r="C3950" s="22"/>
      <c r="D3950" s="502"/>
    </row>
    <row r="3951" spans="1:4" x14ac:dyDescent="0.2">
      <c r="A3951" s="502"/>
      <c r="B3951" s="502"/>
      <c r="C3951" s="22"/>
      <c r="D3951" s="502"/>
    </row>
    <row r="3952" spans="1:4" x14ac:dyDescent="0.2">
      <c r="A3952" s="502"/>
      <c r="B3952" s="502"/>
      <c r="C3952" s="22"/>
      <c r="D3952" s="502"/>
    </row>
    <row r="3953" spans="1:4" x14ac:dyDescent="0.2">
      <c r="A3953" s="502"/>
      <c r="B3953" s="502"/>
      <c r="C3953" s="22"/>
      <c r="D3953" s="502"/>
    </row>
    <row r="3954" spans="1:4" x14ac:dyDescent="0.2">
      <c r="A3954" s="502"/>
      <c r="B3954" s="502"/>
      <c r="C3954" s="22"/>
      <c r="D3954" s="502"/>
    </row>
    <row r="3955" spans="1:4" x14ac:dyDescent="0.2">
      <c r="A3955" s="502"/>
      <c r="B3955" s="502"/>
      <c r="C3955" s="22"/>
      <c r="D3955" s="502"/>
    </row>
    <row r="3956" spans="1:4" x14ac:dyDescent="0.2">
      <c r="A3956" s="502"/>
      <c r="B3956" s="502"/>
      <c r="C3956" s="22"/>
      <c r="D3956" s="502"/>
    </row>
    <row r="3957" spans="1:4" x14ac:dyDescent="0.2">
      <c r="A3957" s="502"/>
      <c r="B3957" s="502"/>
      <c r="C3957" s="22"/>
      <c r="D3957" s="502"/>
    </row>
    <row r="3958" spans="1:4" x14ac:dyDescent="0.2">
      <c r="A3958" s="502"/>
      <c r="B3958" s="502"/>
      <c r="C3958" s="22"/>
      <c r="D3958" s="502"/>
    </row>
    <row r="3959" spans="1:4" x14ac:dyDescent="0.2">
      <c r="A3959" s="502"/>
      <c r="B3959" s="502"/>
      <c r="C3959" s="22"/>
      <c r="D3959" s="502"/>
    </row>
    <row r="3960" spans="1:4" x14ac:dyDescent="0.2">
      <c r="A3960" s="502"/>
      <c r="B3960" s="502"/>
      <c r="C3960" s="22"/>
      <c r="D3960" s="502"/>
    </row>
    <row r="3961" spans="1:4" x14ac:dyDescent="0.2">
      <c r="A3961" s="502"/>
      <c r="B3961" s="502"/>
      <c r="C3961" s="22"/>
      <c r="D3961" s="502"/>
    </row>
    <row r="3962" spans="1:4" x14ac:dyDescent="0.2">
      <c r="A3962" s="502"/>
      <c r="B3962" s="502"/>
      <c r="C3962" s="22"/>
      <c r="D3962" s="502"/>
    </row>
    <row r="3963" spans="1:4" x14ac:dyDescent="0.2">
      <c r="A3963" s="502"/>
      <c r="B3963" s="502"/>
      <c r="C3963" s="22"/>
      <c r="D3963" s="502"/>
    </row>
    <row r="3964" spans="1:4" x14ac:dyDescent="0.2">
      <c r="A3964" s="502"/>
      <c r="B3964" s="502"/>
      <c r="C3964" s="22"/>
      <c r="D3964" s="502"/>
    </row>
    <row r="3965" spans="1:4" x14ac:dyDescent="0.2">
      <c r="A3965" s="502"/>
      <c r="B3965" s="502"/>
      <c r="C3965" s="22"/>
      <c r="D3965" s="502"/>
    </row>
    <row r="3966" spans="1:4" x14ac:dyDescent="0.2">
      <c r="A3966" s="502"/>
      <c r="B3966" s="502"/>
      <c r="C3966" s="22"/>
      <c r="D3966" s="502"/>
    </row>
    <row r="3967" spans="1:4" x14ac:dyDescent="0.2">
      <c r="A3967" s="502"/>
      <c r="B3967" s="502"/>
      <c r="C3967" s="22"/>
      <c r="D3967" s="502"/>
    </row>
    <row r="3968" spans="1:4" x14ac:dyDescent="0.2">
      <c r="A3968" s="502"/>
      <c r="B3968" s="502"/>
      <c r="C3968" s="22"/>
      <c r="D3968" s="502"/>
    </row>
    <row r="3969" spans="1:4" x14ac:dyDescent="0.2">
      <c r="A3969" s="502"/>
      <c r="B3969" s="502"/>
      <c r="C3969" s="22"/>
      <c r="D3969" s="502"/>
    </row>
    <row r="3970" spans="1:4" x14ac:dyDescent="0.2">
      <c r="A3970" s="502"/>
      <c r="B3970" s="502"/>
      <c r="C3970" s="22"/>
      <c r="D3970" s="502"/>
    </row>
    <row r="3971" spans="1:4" x14ac:dyDescent="0.2">
      <c r="A3971" s="502"/>
      <c r="B3971" s="502"/>
      <c r="C3971" s="22"/>
      <c r="D3971" s="502"/>
    </row>
    <row r="3972" spans="1:4" x14ac:dyDescent="0.2">
      <c r="A3972" s="502"/>
      <c r="B3972" s="502"/>
      <c r="C3972" s="22"/>
      <c r="D3972" s="502"/>
    </row>
    <row r="3973" spans="1:4" x14ac:dyDescent="0.2">
      <c r="A3973" s="502"/>
      <c r="B3973" s="502"/>
      <c r="C3973" s="22"/>
      <c r="D3973" s="502"/>
    </row>
    <row r="3974" spans="1:4" x14ac:dyDescent="0.2">
      <c r="A3974" s="502"/>
      <c r="B3974" s="502"/>
      <c r="C3974" s="22"/>
      <c r="D3974" s="502"/>
    </row>
    <row r="3975" spans="1:4" x14ac:dyDescent="0.2">
      <c r="A3975" s="502"/>
      <c r="B3975" s="502"/>
      <c r="C3975" s="22"/>
      <c r="D3975" s="502"/>
    </row>
    <row r="3976" spans="1:4" x14ac:dyDescent="0.2">
      <c r="A3976" s="502"/>
      <c r="B3976" s="502"/>
      <c r="C3976" s="22"/>
      <c r="D3976" s="502"/>
    </row>
    <row r="3977" spans="1:4" x14ac:dyDescent="0.2">
      <c r="A3977" s="502"/>
      <c r="B3977" s="502"/>
      <c r="C3977" s="22"/>
      <c r="D3977" s="502"/>
    </row>
    <row r="3978" spans="1:4" x14ac:dyDescent="0.2">
      <c r="A3978" s="502"/>
      <c r="B3978" s="502"/>
      <c r="C3978" s="22"/>
      <c r="D3978" s="502"/>
    </row>
    <row r="3979" spans="1:4" x14ac:dyDescent="0.2">
      <c r="A3979" s="502"/>
      <c r="B3979" s="502"/>
      <c r="C3979" s="22"/>
      <c r="D3979" s="502"/>
    </row>
    <row r="3980" spans="1:4" x14ac:dyDescent="0.2">
      <c r="A3980" s="502"/>
      <c r="B3980" s="502"/>
      <c r="C3980" s="22"/>
      <c r="D3980" s="502"/>
    </row>
    <row r="3981" spans="1:4" x14ac:dyDescent="0.2">
      <c r="A3981" s="502"/>
      <c r="B3981" s="502"/>
      <c r="C3981" s="22"/>
      <c r="D3981" s="502"/>
    </row>
    <row r="3982" spans="1:4" x14ac:dyDescent="0.2">
      <c r="A3982" s="502"/>
      <c r="B3982" s="502"/>
      <c r="C3982" s="22"/>
      <c r="D3982" s="502"/>
    </row>
    <row r="3983" spans="1:4" x14ac:dyDescent="0.2">
      <c r="A3983" s="502"/>
      <c r="B3983" s="502"/>
      <c r="C3983" s="22"/>
      <c r="D3983" s="502"/>
    </row>
    <row r="3984" spans="1:4" x14ac:dyDescent="0.2">
      <c r="A3984" s="502"/>
      <c r="B3984" s="502"/>
      <c r="C3984" s="22"/>
      <c r="D3984" s="502"/>
    </row>
    <row r="3985" spans="1:4" x14ac:dyDescent="0.2">
      <c r="A3985" s="502"/>
      <c r="B3985" s="502"/>
      <c r="C3985" s="22"/>
      <c r="D3985" s="502"/>
    </row>
    <row r="3986" spans="1:4" x14ac:dyDescent="0.2">
      <c r="A3986" s="502"/>
      <c r="B3986" s="502"/>
      <c r="C3986" s="22"/>
      <c r="D3986" s="502"/>
    </row>
    <row r="3987" spans="1:4" x14ac:dyDescent="0.2">
      <c r="A3987" s="502"/>
      <c r="B3987" s="502"/>
      <c r="C3987" s="22"/>
      <c r="D3987" s="502"/>
    </row>
    <row r="3988" spans="1:4" x14ac:dyDescent="0.2">
      <c r="A3988" s="502"/>
      <c r="B3988" s="502"/>
      <c r="C3988" s="22"/>
      <c r="D3988" s="502"/>
    </row>
    <row r="3989" spans="1:4" x14ac:dyDescent="0.2">
      <c r="A3989" s="502"/>
      <c r="B3989" s="502"/>
      <c r="C3989" s="22"/>
      <c r="D3989" s="502"/>
    </row>
    <row r="3990" spans="1:4" x14ac:dyDescent="0.2">
      <c r="A3990" s="502"/>
      <c r="B3990" s="502"/>
      <c r="C3990" s="22"/>
      <c r="D3990" s="502"/>
    </row>
    <row r="3991" spans="1:4" x14ac:dyDescent="0.2">
      <c r="A3991" s="502"/>
      <c r="B3991" s="502"/>
      <c r="C3991" s="22"/>
      <c r="D3991" s="502"/>
    </row>
    <row r="3992" spans="1:4" x14ac:dyDescent="0.2">
      <c r="A3992" s="502"/>
      <c r="B3992" s="502"/>
      <c r="C3992" s="22"/>
      <c r="D3992" s="502"/>
    </row>
    <row r="3993" spans="1:4" x14ac:dyDescent="0.2">
      <c r="A3993" s="502"/>
      <c r="B3993" s="502"/>
      <c r="C3993" s="22"/>
      <c r="D3993" s="502"/>
    </row>
    <row r="3994" spans="1:4" x14ac:dyDescent="0.2">
      <c r="A3994" s="502"/>
      <c r="B3994" s="502"/>
      <c r="C3994" s="22"/>
      <c r="D3994" s="502"/>
    </row>
    <row r="3995" spans="1:4" x14ac:dyDescent="0.2">
      <c r="A3995" s="502"/>
      <c r="B3995" s="502"/>
      <c r="C3995" s="22"/>
      <c r="D3995" s="502"/>
    </row>
    <row r="3996" spans="1:4" x14ac:dyDescent="0.2">
      <c r="A3996" s="502"/>
      <c r="B3996" s="502"/>
      <c r="C3996" s="22"/>
      <c r="D3996" s="502"/>
    </row>
    <row r="3997" spans="1:4" x14ac:dyDescent="0.2">
      <c r="A3997" s="502"/>
      <c r="B3997" s="502"/>
      <c r="C3997" s="22"/>
      <c r="D3997" s="502"/>
    </row>
    <row r="3998" spans="1:4" x14ac:dyDescent="0.2">
      <c r="A3998" s="502"/>
      <c r="B3998" s="502"/>
      <c r="C3998" s="22"/>
      <c r="D3998" s="502"/>
    </row>
    <row r="3999" spans="1:4" x14ac:dyDescent="0.2">
      <c r="A3999" s="502"/>
      <c r="B3999" s="502"/>
      <c r="C3999" s="22"/>
      <c r="D3999" s="502"/>
    </row>
    <row r="4000" spans="1:4" x14ac:dyDescent="0.2">
      <c r="A4000" s="502"/>
      <c r="B4000" s="502"/>
      <c r="C4000" s="22"/>
      <c r="D4000" s="502"/>
    </row>
    <row r="4001" spans="1:4" x14ac:dyDescent="0.2">
      <c r="A4001" s="502"/>
      <c r="B4001" s="502"/>
      <c r="C4001" s="22"/>
      <c r="D4001" s="502"/>
    </row>
    <row r="4002" spans="1:4" x14ac:dyDescent="0.2">
      <c r="A4002" s="502"/>
      <c r="B4002" s="502"/>
      <c r="C4002" s="22"/>
      <c r="D4002" s="502"/>
    </row>
    <row r="4003" spans="1:4" x14ac:dyDescent="0.2">
      <c r="A4003" s="502"/>
      <c r="B4003" s="502"/>
      <c r="C4003" s="22"/>
      <c r="D4003" s="502"/>
    </row>
    <row r="4004" spans="1:4" x14ac:dyDescent="0.2">
      <c r="A4004" s="502"/>
      <c r="B4004" s="502"/>
      <c r="C4004" s="22"/>
      <c r="D4004" s="502"/>
    </row>
    <row r="4005" spans="1:4" x14ac:dyDescent="0.2">
      <c r="A4005" s="502"/>
      <c r="B4005" s="502"/>
      <c r="C4005" s="22"/>
      <c r="D4005" s="502"/>
    </row>
    <row r="4006" spans="1:4" x14ac:dyDescent="0.2">
      <c r="A4006" s="502"/>
      <c r="B4006" s="502"/>
      <c r="C4006" s="22"/>
      <c r="D4006" s="502"/>
    </row>
    <row r="4007" spans="1:4" x14ac:dyDescent="0.2">
      <c r="A4007" s="502"/>
      <c r="B4007" s="502"/>
      <c r="C4007" s="22"/>
      <c r="D4007" s="502"/>
    </row>
    <row r="4008" spans="1:4" x14ac:dyDescent="0.2">
      <c r="A4008" s="502"/>
      <c r="B4008" s="502"/>
      <c r="C4008" s="22"/>
      <c r="D4008" s="502"/>
    </row>
    <row r="4009" spans="1:4" x14ac:dyDescent="0.2">
      <c r="A4009" s="502"/>
      <c r="B4009" s="502"/>
      <c r="C4009" s="22"/>
      <c r="D4009" s="502"/>
    </row>
    <row r="4010" spans="1:4" x14ac:dyDescent="0.2">
      <c r="A4010" s="502"/>
      <c r="B4010" s="502"/>
      <c r="C4010" s="22"/>
      <c r="D4010" s="502"/>
    </row>
    <row r="4011" spans="1:4" x14ac:dyDescent="0.2">
      <c r="A4011" s="502"/>
      <c r="B4011" s="502"/>
      <c r="C4011" s="22"/>
      <c r="D4011" s="502"/>
    </row>
    <row r="4012" spans="1:4" x14ac:dyDescent="0.2">
      <c r="A4012" s="502"/>
      <c r="B4012" s="502"/>
      <c r="C4012" s="22"/>
      <c r="D4012" s="502"/>
    </row>
    <row r="4013" spans="1:4" x14ac:dyDescent="0.2">
      <c r="A4013" s="502"/>
      <c r="B4013" s="502"/>
      <c r="C4013" s="22"/>
      <c r="D4013" s="502"/>
    </row>
    <row r="4014" spans="1:4" x14ac:dyDescent="0.2">
      <c r="A4014" s="502"/>
      <c r="B4014" s="502"/>
      <c r="C4014" s="22"/>
      <c r="D4014" s="502"/>
    </row>
    <row r="4015" spans="1:4" x14ac:dyDescent="0.2">
      <c r="A4015" s="502"/>
      <c r="B4015" s="502"/>
      <c r="C4015" s="22"/>
      <c r="D4015" s="502"/>
    </row>
    <row r="4016" spans="1:4" x14ac:dyDescent="0.2">
      <c r="A4016" s="502"/>
      <c r="B4016" s="502"/>
      <c r="C4016" s="22"/>
      <c r="D4016" s="502"/>
    </row>
    <row r="4017" spans="1:4" x14ac:dyDescent="0.2">
      <c r="A4017" s="502"/>
      <c r="B4017" s="502"/>
      <c r="C4017" s="22"/>
      <c r="D4017" s="502"/>
    </row>
    <row r="4018" spans="1:4" x14ac:dyDescent="0.2">
      <c r="A4018" s="502"/>
      <c r="B4018" s="502"/>
      <c r="C4018" s="22"/>
      <c r="D4018" s="502"/>
    </row>
    <row r="4019" spans="1:4" x14ac:dyDescent="0.2">
      <c r="A4019" s="502"/>
      <c r="B4019" s="502"/>
      <c r="C4019" s="22"/>
      <c r="D4019" s="502"/>
    </row>
    <row r="4020" spans="1:4" x14ac:dyDescent="0.2">
      <c r="A4020" s="502"/>
      <c r="B4020" s="502"/>
      <c r="C4020" s="22"/>
      <c r="D4020" s="502"/>
    </row>
  </sheetData>
  <mergeCells count="100">
    <mergeCell ref="A10:L10"/>
    <mergeCell ref="A11:L11"/>
    <mergeCell ref="A12:K12"/>
    <mergeCell ref="A15:K15"/>
    <mergeCell ref="A17:K17"/>
    <mergeCell ref="A175:I175"/>
    <mergeCell ref="A176:I176"/>
    <mergeCell ref="A174:I174"/>
    <mergeCell ref="A149:I149"/>
    <mergeCell ref="A165:I165"/>
    <mergeCell ref="A167:I167"/>
    <mergeCell ref="A22:K22"/>
    <mergeCell ref="A144:L144"/>
    <mergeCell ref="A150:I150"/>
    <mergeCell ref="A172:I172"/>
    <mergeCell ref="A164:I164"/>
    <mergeCell ref="A170:I170"/>
    <mergeCell ref="A168:I168"/>
    <mergeCell ref="A157:I157"/>
    <mergeCell ref="A154:I154"/>
    <mergeCell ref="A152:I152"/>
    <mergeCell ref="N2246:V2246"/>
    <mergeCell ref="A222:L222"/>
    <mergeCell ref="A224:L224"/>
    <mergeCell ref="J368:L369"/>
    <mergeCell ref="C215:E215"/>
    <mergeCell ref="C216:E216"/>
    <mergeCell ref="A219:B219"/>
    <mergeCell ref="C219:E219"/>
    <mergeCell ref="F219:I219"/>
    <mergeCell ref="A216:B216"/>
    <mergeCell ref="C213:E213"/>
    <mergeCell ref="A208:B208"/>
    <mergeCell ref="A209:B209"/>
    <mergeCell ref="C205:E205"/>
    <mergeCell ref="A212:B212"/>
    <mergeCell ref="C206:E206"/>
    <mergeCell ref="C210:E210"/>
    <mergeCell ref="A211:B211"/>
    <mergeCell ref="A210:B210"/>
    <mergeCell ref="A206:B206"/>
    <mergeCell ref="C212:E212"/>
    <mergeCell ref="C207:E207"/>
    <mergeCell ref="C208:E208"/>
    <mergeCell ref="C209:E209"/>
    <mergeCell ref="C211:E211"/>
    <mergeCell ref="A191:I191"/>
    <mergeCell ref="A153:I153"/>
    <mergeCell ref="A192:I192"/>
    <mergeCell ref="A182:I182"/>
    <mergeCell ref="A178:I178"/>
    <mergeCell ref="A180:I180"/>
    <mergeCell ref="A179:I179"/>
    <mergeCell ref="A183:I183"/>
    <mergeCell ref="A184:I184"/>
    <mergeCell ref="A173:I173"/>
    <mergeCell ref="A158:I158"/>
    <mergeCell ref="A160:I160"/>
    <mergeCell ref="A162:I162"/>
    <mergeCell ref="A163:I163"/>
    <mergeCell ref="A186:I186"/>
    <mergeCell ref="A187:I187"/>
    <mergeCell ref="A177:I177"/>
    <mergeCell ref="A207:B207"/>
    <mergeCell ref="A205:B205"/>
    <mergeCell ref="A155:I155"/>
    <mergeCell ref="A156:I156"/>
    <mergeCell ref="A159:I159"/>
    <mergeCell ref="A169:I169"/>
    <mergeCell ref="A171:I171"/>
    <mergeCell ref="A188:I188"/>
    <mergeCell ref="A193:I193"/>
    <mergeCell ref="A194:I194"/>
    <mergeCell ref="A190:I190"/>
    <mergeCell ref="A185:I185"/>
    <mergeCell ref="A189:I189"/>
    <mergeCell ref="A195:I195"/>
    <mergeCell ref="A203:B203"/>
    <mergeCell ref="A197:L197"/>
    <mergeCell ref="A200:I200"/>
    <mergeCell ref="C201:E201"/>
    <mergeCell ref="C202:E202"/>
    <mergeCell ref="F201:I201"/>
    <mergeCell ref="A202:B202"/>
    <mergeCell ref="A2315:K2315"/>
    <mergeCell ref="A2321:J2321"/>
    <mergeCell ref="A2311:K2311"/>
    <mergeCell ref="A201:B201"/>
    <mergeCell ref="A204:B204"/>
    <mergeCell ref="C203:E203"/>
    <mergeCell ref="C204:E204"/>
    <mergeCell ref="A213:B213"/>
    <mergeCell ref="F217:I217"/>
    <mergeCell ref="A218:B218"/>
    <mergeCell ref="C218:E218"/>
    <mergeCell ref="A217:B217"/>
    <mergeCell ref="C217:E217"/>
    <mergeCell ref="C214:E214"/>
    <mergeCell ref="A214:B214"/>
    <mergeCell ref="A215:B215"/>
  </mergeCells>
  <printOptions horizontalCentered="1"/>
  <pageMargins left="0.39370078740157499" right="0" top="0.55118110236220497" bottom="0.35433070866141703" header="0" footer="0"/>
  <pageSetup paperSize="9" scale="85" fitToWidth="0" fitToHeight="0" orientation="landscape" useFirstPageNumber="1" r:id="rId1"/>
  <headerFooter>
    <oddFooter>&amp;C &amp;P</oddFooter>
  </headerFooter>
  <rowBreaks count="1" manualBreakCount="1"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4"/>
  <sheetViews>
    <sheetView showGridLines="0" topLeftCell="A173" workbookViewId="0">
      <selection activeCell="M276" sqref="M276"/>
    </sheetView>
  </sheetViews>
  <sheetFormatPr defaultRowHeight="11.25" x14ac:dyDescent="0.2"/>
  <cols>
    <col min="1" max="1" width="11.7109375" style="82" customWidth="1"/>
    <col min="2" max="2" width="10.85546875" style="82" customWidth="1"/>
    <col min="3" max="3" width="21.7109375" style="10" customWidth="1"/>
    <col min="4" max="4" width="27.7109375" style="10" customWidth="1"/>
    <col min="5" max="5" width="27.5703125" style="10" customWidth="1"/>
    <col min="6" max="6" width="15.140625" style="83" customWidth="1"/>
    <col min="7" max="7" width="10" style="84" customWidth="1"/>
    <col min="8" max="8" width="13.140625" style="83" customWidth="1"/>
    <col min="9" max="9" width="8.140625" style="85" customWidth="1"/>
    <col min="10" max="10" width="8" style="85" customWidth="1"/>
    <col min="11" max="11" width="8.5703125" style="85" customWidth="1"/>
    <col min="12" max="12" width="13.5703125" style="85" customWidth="1"/>
    <col min="13" max="13" width="9.5703125" style="85" bestFit="1" customWidth="1"/>
    <col min="14" max="16384" width="9.140625" style="85"/>
  </cols>
  <sheetData>
    <row r="1" spans="1:12" ht="15" customHeight="1" x14ac:dyDescent="0.2">
      <c r="A1" s="81"/>
    </row>
    <row r="2" spans="1:12" s="86" customFormat="1" ht="17.25" customHeight="1" x14ac:dyDescent="0.2">
      <c r="A2" s="1131" t="s">
        <v>411</v>
      </c>
      <c r="B2" s="1132"/>
      <c r="C2" s="1132"/>
      <c r="D2" s="1132"/>
      <c r="E2" s="1132"/>
      <c r="F2" s="1132"/>
      <c r="G2" s="1132"/>
      <c r="H2" s="1133"/>
    </row>
    <row r="3" spans="1:12" s="86" customFormat="1" ht="15" customHeight="1" x14ac:dyDescent="0.2">
      <c r="A3" s="32"/>
      <c r="B3" s="32"/>
      <c r="C3" s="62"/>
      <c r="D3" s="62"/>
      <c r="E3" s="62"/>
      <c r="F3" s="62"/>
      <c r="G3" s="62"/>
      <c r="H3" s="62"/>
    </row>
    <row r="4" spans="1:12" ht="11.25" customHeight="1" x14ac:dyDescent="0.2">
      <c r="A4" s="1138" t="s">
        <v>393</v>
      </c>
      <c r="B4" s="1139"/>
      <c r="C4" s="1140" t="s">
        <v>394</v>
      </c>
      <c r="D4" s="1140" t="s">
        <v>395</v>
      </c>
      <c r="E4" s="1140" t="s">
        <v>396</v>
      </c>
      <c r="F4" s="1136" t="s">
        <v>156</v>
      </c>
      <c r="G4" s="1134" t="s">
        <v>281</v>
      </c>
      <c r="H4" s="1136" t="s">
        <v>157</v>
      </c>
    </row>
    <row r="5" spans="1:12" ht="33.75" x14ac:dyDescent="0.2">
      <c r="A5" s="33" t="s">
        <v>286</v>
      </c>
      <c r="B5" s="33" t="s">
        <v>397</v>
      </c>
      <c r="C5" s="1141"/>
      <c r="D5" s="1141"/>
      <c r="E5" s="1141"/>
      <c r="F5" s="1137"/>
      <c r="G5" s="1135"/>
      <c r="H5" s="1137"/>
      <c r="I5" s="87"/>
      <c r="J5" s="87"/>
      <c r="K5" s="87"/>
    </row>
    <row r="6" spans="1:12" s="92" customFormat="1" x14ac:dyDescent="0.2">
      <c r="A6" s="88" t="s">
        <v>52</v>
      </c>
      <c r="B6" s="88" t="s">
        <v>398</v>
      </c>
      <c r="C6" s="88" t="s">
        <v>60</v>
      </c>
      <c r="D6" s="88" t="s">
        <v>282</v>
      </c>
      <c r="E6" s="88" t="s">
        <v>283</v>
      </c>
      <c r="F6" s="89">
        <v>6</v>
      </c>
      <c r="G6" s="90">
        <v>7</v>
      </c>
      <c r="H6" s="89">
        <v>8</v>
      </c>
      <c r="I6" s="91"/>
    </row>
    <row r="7" spans="1:12" ht="33.75" x14ac:dyDescent="0.2">
      <c r="A7" s="34" t="s">
        <v>249</v>
      </c>
      <c r="B7" s="34"/>
      <c r="C7" s="35" t="str">
        <f>'РЕБ 2, мај 19'!I447</f>
        <v>ПРОГРАМ 1 - УРБАНИЗАМ И ПРОСТОРНО ПЛАНИРАЊЕ</v>
      </c>
      <c r="D7" s="35" t="s">
        <v>471</v>
      </c>
      <c r="E7" s="35" t="s">
        <v>472</v>
      </c>
      <c r="F7" s="36">
        <f>SUM(F8:F10)</f>
        <v>52749000</v>
      </c>
      <c r="G7" s="36">
        <f t="shared" ref="G7" si="0">SUM(G8)</f>
        <v>0</v>
      </c>
      <c r="H7" s="36">
        <f>SUM(F7:G7)</f>
        <v>52749000</v>
      </c>
      <c r="I7" s="91"/>
      <c r="L7" s="87"/>
    </row>
    <row r="8" spans="1:12" ht="33.75" x14ac:dyDescent="0.2">
      <c r="A8" s="11"/>
      <c r="B8" s="11" t="str">
        <f>'РЕБ 2, мај 19'!E450</f>
        <v>1101-0001</v>
      </c>
      <c r="C8" s="2" t="str">
        <f>'РЕБ 2, мај 19'!I450</f>
        <v>Просторно и урбанистичко планирање</v>
      </c>
      <c r="D8" s="2" t="s">
        <v>473</v>
      </c>
      <c r="E8" s="2" t="s">
        <v>399</v>
      </c>
      <c r="F8" s="3">
        <f>'РЕБ 2, мај 19'!J454</f>
        <v>18948000</v>
      </c>
      <c r="G8" s="3">
        <f>'РЕБ 2, мај 19'!K454</f>
        <v>0</v>
      </c>
      <c r="H8" s="3">
        <f>'РЕБ 2, мај 19'!L454</f>
        <v>18948000</v>
      </c>
      <c r="I8" s="91"/>
    </row>
    <row r="9" spans="1:12" ht="22.5" x14ac:dyDescent="0.2">
      <c r="A9" s="11"/>
      <c r="B9" s="69" t="str">
        <f>'РЕБ 2, мај 19'!E460</f>
        <v>1101-0004</v>
      </c>
      <c r="C9" s="830" t="str">
        <f>'РЕБ 2, мај 19'!I460</f>
        <v>Стамбена подршка</v>
      </c>
      <c r="D9" s="2" t="s">
        <v>782</v>
      </c>
      <c r="E9" s="2" t="s">
        <v>783</v>
      </c>
      <c r="F9" s="3">
        <f>'РЕБ 2, мај 19'!J464</f>
        <v>30001000</v>
      </c>
      <c r="G9" s="3">
        <f>'РЕБ 2, мај 19'!K461</f>
        <v>0</v>
      </c>
      <c r="H9" s="3">
        <f>'РЕБ 2, мај 19'!L461</f>
        <v>30000000</v>
      </c>
      <c r="I9" s="91"/>
    </row>
    <row r="10" spans="1:12" ht="67.5" customHeight="1" x14ac:dyDescent="0.2">
      <c r="A10" s="11"/>
      <c r="B10" s="11"/>
      <c r="C10" s="830" t="str">
        <f>'РЕБ 2, мај 19'!I466</f>
        <v>ПРОЈЕКАТ  - Израда пројектне и техничке документације и рушење станова у бр. 6, 8 и 10 у Железничкој улици у Инђији</v>
      </c>
      <c r="D10" s="2"/>
      <c r="E10" s="2"/>
      <c r="F10" s="3">
        <f>'РЕБ 2, мај 19'!J467</f>
        <v>3800000</v>
      </c>
      <c r="G10" s="3">
        <f>'РЕБ 2, мај 19'!K467</f>
        <v>0</v>
      </c>
      <c r="H10" s="3">
        <f>'РЕБ 2, мај 19'!L467</f>
        <v>3800000</v>
      </c>
      <c r="I10" s="91"/>
    </row>
    <row r="11" spans="1:12" ht="52.5" customHeight="1" x14ac:dyDescent="0.2">
      <c r="A11" s="34" t="s">
        <v>454</v>
      </c>
      <c r="B11" s="34"/>
      <c r="C11" s="35" t="str">
        <f>'РЕБ 2, мај 19'!I471</f>
        <v>ПРОГРАМ 2 - КОМУНАЛНЕ ДЕЛАТНОСТИ</v>
      </c>
      <c r="D11" s="37" t="s">
        <v>784</v>
      </c>
      <c r="E11" s="37"/>
      <c r="F11" s="36">
        <f>SUM(F12:F47)</f>
        <v>635145184.93000007</v>
      </c>
      <c r="G11" s="36">
        <f t="shared" ref="G11:H11" si="1">SUM(G12:G47)</f>
        <v>0</v>
      </c>
      <c r="H11" s="36">
        <f t="shared" si="1"/>
        <v>635145184.93000007</v>
      </c>
      <c r="I11" s="91"/>
      <c r="L11" s="87"/>
    </row>
    <row r="12" spans="1:12" ht="45" x14ac:dyDescent="0.2">
      <c r="A12" s="11"/>
      <c r="B12" s="69" t="s">
        <v>457</v>
      </c>
      <c r="C12" s="6" t="str">
        <f>'РЕБ 2, мај 19'!I659</f>
        <v>Управљање/одржавање јавним осветљењем</v>
      </c>
      <c r="D12" s="6" t="s">
        <v>785</v>
      </c>
      <c r="E12" s="6" t="s">
        <v>786</v>
      </c>
      <c r="F12" s="3">
        <f>'РЕБ 2, мај 19'!J664</f>
        <v>25527456</v>
      </c>
      <c r="G12" s="3">
        <f>'РЕБ 2, мај 19'!K664</f>
        <v>0</v>
      </c>
      <c r="H12" s="3">
        <f>'РЕБ 2, мај 19'!L664</f>
        <v>25527456</v>
      </c>
      <c r="I12" s="91"/>
      <c r="L12" s="87"/>
    </row>
    <row r="13" spans="1:12" ht="33.75" x14ac:dyDescent="0.2">
      <c r="A13" s="11"/>
      <c r="B13" s="11" t="str">
        <f>'РЕБ 2, мај 19'!E474</f>
        <v>1102-0002</v>
      </c>
      <c r="C13" s="6" t="str">
        <f>'РЕБ 2, мај 19'!I474</f>
        <v>Одржавање јавних зелених површина</v>
      </c>
      <c r="D13" s="6" t="s">
        <v>474</v>
      </c>
      <c r="E13" s="6" t="s">
        <v>475</v>
      </c>
      <c r="F13" s="3">
        <f>'РЕБ 2, мај 19'!J478</f>
        <v>134000000</v>
      </c>
      <c r="G13" s="3">
        <f>'РЕБ 2, мај 19'!K478</f>
        <v>0</v>
      </c>
      <c r="H13" s="3">
        <f>'РЕБ 2, мај 19'!L478</f>
        <v>134000000</v>
      </c>
      <c r="I13" s="93"/>
    </row>
    <row r="14" spans="1:12" ht="70.5" customHeight="1" x14ac:dyDescent="0.2">
      <c r="A14" s="11"/>
      <c r="B14" s="69" t="str">
        <f>'РЕБ 2, мај 19'!E482</f>
        <v>1102-0004</v>
      </c>
      <c r="C14" s="6" t="str">
        <f>'РЕБ 2, мај 19'!I483</f>
        <v>Зоохигијена</v>
      </c>
      <c r="D14" s="6" t="s">
        <v>687</v>
      </c>
      <c r="E14" s="6" t="s">
        <v>688</v>
      </c>
      <c r="F14" s="3">
        <f>'РЕБ 2, мај 19'!J485</f>
        <v>10000000</v>
      </c>
      <c r="G14" s="3">
        <f>'РЕБ 2, мај 19'!K487</f>
        <v>0</v>
      </c>
      <c r="H14" s="3">
        <f>'РЕБ 2, мај 19'!L487</f>
        <v>10000000</v>
      </c>
      <c r="I14" s="93"/>
    </row>
    <row r="15" spans="1:12" ht="70.5" customHeight="1" x14ac:dyDescent="0.2">
      <c r="A15" s="11"/>
      <c r="B15" s="69"/>
      <c r="C15" s="6" t="str">
        <f>'РЕБ 2, мај 19'!I489</f>
        <v>ПРОЈЕКАТ Изградња капеле у Марадику</v>
      </c>
      <c r="D15" s="6"/>
      <c r="E15" s="6"/>
      <c r="F15" s="3">
        <f>'РЕБ 2, мај 19'!J493</f>
        <v>6200000</v>
      </c>
      <c r="G15" s="3">
        <f>'РЕБ 2, мај 19'!K493</f>
        <v>0</v>
      </c>
      <c r="H15" s="3">
        <f>'РЕБ 2, мај 19'!L493</f>
        <v>6200000</v>
      </c>
      <c r="I15" s="93"/>
    </row>
    <row r="16" spans="1:12" ht="70.5" customHeight="1" x14ac:dyDescent="0.2">
      <c r="A16" s="11"/>
      <c r="B16" s="69"/>
      <c r="C16" s="6" t="str">
        <f>'РЕБ 2, мај 19'!I495</f>
        <v>ПРОЈЕКАТ Изградња капеле у Чортановцима</v>
      </c>
      <c r="D16" s="6"/>
      <c r="E16" s="6"/>
      <c r="F16" s="3">
        <f>'РЕБ 2, мај 19'!J499</f>
        <v>6200000</v>
      </c>
      <c r="G16" s="3">
        <f>'РЕБ 2, мај 19'!K499</f>
        <v>0</v>
      </c>
      <c r="H16" s="3">
        <f>'РЕБ 2, мај 19'!L499</f>
        <v>6200000</v>
      </c>
      <c r="I16" s="93"/>
    </row>
    <row r="17" spans="1:12" ht="48" customHeight="1" x14ac:dyDescent="0.2">
      <c r="A17" s="11"/>
      <c r="B17" s="11"/>
      <c r="C17" s="6" t="str">
        <f>'РЕБ 2, мај 19'!I501</f>
        <v>ПРОЈЕКАТ Израда пројектне документације за уређење парка Проте Радослава Марковића</v>
      </c>
      <c r="D17" s="6"/>
      <c r="E17" s="2"/>
      <c r="F17" s="4">
        <f>'РЕБ 2, мај 19'!J502</f>
        <v>600000</v>
      </c>
      <c r="G17" s="4">
        <f>'РЕБ 2, мај 19'!K504</f>
        <v>0</v>
      </c>
      <c r="H17" s="4">
        <f>'РЕБ 2, мај 19'!L504</f>
        <v>600000</v>
      </c>
      <c r="I17" s="93"/>
    </row>
    <row r="18" spans="1:12" ht="63.75" customHeight="1" x14ac:dyDescent="0.2">
      <c r="A18" s="11"/>
      <c r="B18" s="11"/>
      <c r="C18" s="6" t="str">
        <f>'РЕБ 2, мај 19'!I506</f>
        <v>ПРОЈЕКАТ Израда пројектне документације за уређење парка са леве стране Новосадске улице у смеру ка Новом Саду</v>
      </c>
      <c r="D18" s="6"/>
      <c r="E18" s="2"/>
      <c r="F18" s="4">
        <f>'РЕБ 2, мај 19'!J507</f>
        <v>600000</v>
      </c>
      <c r="G18" s="4">
        <f>'РЕБ 2, мај 19'!K507</f>
        <v>0</v>
      </c>
      <c r="H18" s="4">
        <f>'РЕБ 2, мај 19'!L507</f>
        <v>600000</v>
      </c>
      <c r="L18" s="87"/>
    </row>
    <row r="19" spans="1:12" ht="57" customHeight="1" x14ac:dyDescent="0.2">
      <c r="A19" s="11"/>
      <c r="B19" s="11"/>
      <c r="C19" s="6" t="str">
        <f>'РЕБ 2, мај 19'!I511</f>
        <v>ПРОЈЕКАТ Израда пројектне документације за уређење парка са десне стране Новосадске улице у смеру ка Новом Саду</v>
      </c>
      <c r="D19" s="6"/>
      <c r="E19" s="2"/>
      <c r="F19" s="4">
        <f>'РЕБ 2, мај 19'!J512</f>
        <v>600000</v>
      </c>
      <c r="G19" s="4">
        <f>'РЕБ 2, мај 19'!K512</f>
        <v>0</v>
      </c>
      <c r="H19" s="4">
        <f>'РЕБ 2, мај 19'!L512</f>
        <v>600000</v>
      </c>
    </row>
    <row r="20" spans="1:12" ht="57" customHeight="1" x14ac:dyDescent="0.2">
      <c r="A20" s="11"/>
      <c r="B20" s="11"/>
      <c r="C20" s="102" t="str">
        <f>'РЕБ 2, мај 19'!I516</f>
        <v>ПРОЈЕКАТ Израда пројектне документације за уређење парка код железничке станице</v>
      </c>
      <c r="D20" s="6"/>
      <c r="E20" s="2"/>
      <c r="F20" s="4">
        <f>'РЕБ 2, мај 19'!J517</f>
        <v>600000</v>
      </c>
      <c r="G20" s="4">
        <f>'РЕБ 2, мај 19'!K517</f>
        <v>0</v>
      </c>
      <c r="H20" s="4">
        <f>'РЕБ 2, мај 19'!L517</f>
        <v>600000</v>
      </c>
    </row>
    <row r="21" spans="1:12" ht="57" customHeight="1" x14ac:dyDescent="0.2">
      <c r="A21" s="11"/>
      <c r="B21" s="11"/>
      <c r="C21" s="102" t="str">
        <f>'РЕБ 2, мај 19'!I521</f>
        <v>ПРОЈЕКАТ Извођење радова на реконструкцији уређења паркова по пројектној документацији</v>
      </c>
      <c r="D21" s="6"/>
      <c r="E21" s="2"/>
      <c r="F21" s="4">
        <f>'РЕБ 2, мај 19'!J522</f>
        <v>20000000</v>
      </c>
      <c r="G21" s="4">
        <f>'РЕБ 2, мај 19'!K522</f>
        <v>0</v>
      </c>
      <c r="H21" s="4">
        <f>'РЕБ 2, мај 19'!L522</f>
        <v>20000000</v>
      </c>
      <c r="I21" s="832"/>
    </row>
    <row r="22" spans="1:12" ht="57" customHeight="1" x14ac:dyDescent="0.2">
      <c r="A22" s="11"/>
      <c r="B22" s="11"/>
      <c r="C22" s="102" t="str">
        <f>'РЕБ 2, мај 19'!I528</f>
        <v>ПРОЈЕКАТ  - ЧИПОВАЊЕ И СТЕРИЛИЗАЦИЈА ПАСА И МАЧАКА</v>
      </c>
      <c r="D22" s="6"/>
      <c r="E22" s="2"/>
      <c r="F22" s="4">
        <f>'РЕБ 2, мај 19'!J529</f>
        <v>1500000</v>
      </c>
      <c r="G22" s="4">
        <f>'РЕБ 2, мај 19'!K529</f>
        <v>0</v>
      </c>
      <c r="H22" s="4">
        <f>'РЕБ 2, мај 19'!L529</f>
        <v>1500000</v>
      </c>
    </row>
    <row r="23" spans="1:12" ht="57" customHeight="1" x14ac:dyDescent="0.2">
      <c r="A23" s="11"/>
      <c r="B23" s="11"/>
      <c r="C23" s="102" t="str">
        <f>'РЕБ 2, мај 19'!I535</f>
        <v>ПРОЈЕКАТ  - НАБАВКА ПОСУДА ЗА САКУПЉАЊЕ КОМУНАЛНОГ ОТПАДА</v>
      </c>
      <c r="D23" s="6"/>
      <c r="E23" s="2"/>
      <c r="F23" s="4">
        <f>'РЕБ 2, мај 19'!J536</f>
        <v>4000000</v>
      </c>
      <c r="G23" s="4">
        <f>'РЕБ 2, мај 19'!K536</f>
        <v>0</v>
      </c>
      <c r="H23" s="4">
        <f>'РЕБ 2, мај 19'!L536</f>
        <v>4000000</v>
      </c>
    </row>
    <row r="24" spans="1:12" ht="47.25" customHeight="1" x14ac:dyDescent="0.2">
      <c r="A24" s="11"/>
      <c r="B24" s="11"/>
      <c r="C24" s="102" t="str">
        <f>'РЕБ 2, мај 19'!I542</f>
        <v>ПРОЈЕКАТ - Постројење за припрему воде</v>
      </c>
      <c r="D24" s="6"/>
      <c r="E24" s="2"/>
      <c r="F24" s="4">
        <f>'РЕБ 2, мај 19'!J543</f>
        <v>20000000</v>
      </c>
      <c r="G24" s="4">
        <f>'РЕБ 2, мај 19'!K543</f>
        <v>0</v>
      </c>
      <c r="H24" s="4">
        <f>'РЕБ 2, мај 19'!L543</f>
        <v>20000000</v>
      </c>
    </row>
    <row r="25" spans="1:12" ht="73.5" customHeight="1" x14ac:dyDescent="0.2">
      <c r="A25" s="11"/>
      <c r="B25" s="11"/>
      <c r="C25" s="102" t="str">
        <f>'РЕБ 2, мај 19'!I548</f>
        <v>ПРОЈЕКАТ - ЈКП "Водовод и канализација" Повезани цевовод Инђија - Бешка - Фаза I (од фабрике Грундфос до шахта Ш6 код ЦС Бешка -Југ)</v>
      </c>
      <c r="D25" s="6"/>
      <c r="E25" s="2"/>
      <c r="F25" s="4">
        <f>'РЕБ 2, мај 19'!J549</f>
        <v>25389007</v>
      </c>
      <c r="G25" s="4">
        <f>'РЕБ 2, мај 19'!K549</f>
        <v>0</v>
      </c>
      <c r="H25" s="4">
        <f>'РЕБ 2, мај 19'!L549</f>
        <v>25389007</v>
      </c>
    </row>
    <row r="26" spans="1:12" ht="165.75" customHeight="1" x14ac:dyDescent="0.2">
      <c r="A26" s="11"/>
      <c r="B26" s="11"/>
      <c r="C26" s="102" t="str">
        <f>'РЕБ 2, мај 19'!I554</f>
        <v>ПРОЈЕКАТ - ЈКП "Водовод и канализација" Изградња сабирног цевовода, батерија бунара Б-23, Б-24, Б-25 и полагање напојног вода за све три батерије на катастарским парцелама број 7510/16, 7510/20,7510/24 и 7710/14 К.О . Инђија-Фаза IV/сабирни цевовод, напојни вод и бушење и опремање бунара Б/25д и Б/25п/</v>
      </c>
      <c r="D26" s="6"/>
      <c r="E26" s="2"/>
      <c r="F26" s="4">
        <f>'РЕБ 2, мај 19'!J558</f>
        <v>28303721.93</v>
      </c>
      <c r="G26" s="4">
        <f>'РЕБ 2, мај 19'!K558</f>
        <v>0</v>
      </c>
      <c r="H26" s="4">
        <f>'РЕБ 2, мај 19'!L558</f>
        <v>28303721.93</v>
      </c>
    </row>
    <row r="27" spans="1:12" ht="57" customHeight="1" x14ac:dyDescent="0.2">
      <c r="A27" s="11"/>
      <c r="B27" s="11"/>
      <c r="C27" s="102" t="str">
        <f>'РЕБ 2, мај 19'!I561</f>
        <v>ПРОЈЕКАТ - Изградња водовода дуж саобраћајнице С1 у радној зони Локација 15 КО Инђија у дужини 600 м</v>
      </c>
      <c r="D27" s="6"/>
      <c r="E27" s="2"/>
      <c r="F27" s="4">
        <f>'РЕБ 2, мај 19'!J566</f>
        <v>3475000</v>
      </c>
      <c r="G27" s="4">
        <f>'РЕБ 2, мај 19'!K566</f>
        <v>0</v>
      </c>
      <c r="H27" s="4">
        <f>'РЕБ 2, мај 19'!L566</f>
        <v>3475000</v>
      </c>
    </row>
    <row r="28" spans="1:12" ht="57" customHeight="1" x14ac:dyDescent="0.2">
      <c r="A28" s="11"/>
      <c r="B28" s="11"/>
      <c r="C28" s="102" t="str">
        <f>'РЕБ 2, мај 19'!I568</f>
        <v>ПРОЈЕКАТ- Извођење радова на продужетку водоводне мреже у улици Змај Јовина у ИНђији</v>
      </c>
      <c r="D28" s="6"/>
      <c r="E28" s="2"/>
      <c r="F28" s="4">
        <f>'РЕБ 2, мај 19'!J569</f>
        <v>2380000</v>
      </c>
      <c r="G28" s="4">
        <f>'РЕБ 2, мај 19'!K569</f>
        <v>0</v>
      </c>
      <c r="H28" s="4">
        <f>'РЕБ 2, мај 19'!L569</f>
        <v>2380000</v>
      </c>
    </row>
    <row r="29" spans="1:12" ht="57" customHeight="1" x14ac:dyDescent="0.2">
      <c r="A29" s="11"/>
      <c r="B29" s="11"/>
      <c r="C29" s="102" t="str">
        <f>'РЕБ 2, мај 19'!I573</f>
        <v>ПРОЈЕКАТ - Извођење радова на продужетку водоводне мреже у улици Мике Антића у Бешки</v>
      </c>
      <c r="D29" s="6"/>
      <c r="E29" s="2"/>
      <c r="F29" s="4">
        <f>'РЕБ 2, мај 19'!J574</f>
        <v>748000</v>
      </c>
      <c r="G29" s="4">
        <f>'РЕБ 2, мај 19'!K574</f>
        <v>0</v>
      </c>
      <c r="H29" s="4">
        <f>'РЕБ 2, мај 19'!L574</f>
        <v>748000</v>
      </c>
    </row>
    <row r="30" spans="1:12" ht="73.5" customHeight="1" x14ac:dyDescent="0.2">
      <c r="A30" s="11"/>
      <c r="B30" s="11"/>
      <c r="C30" s="102" t="str">
        <f>'РЕБ 2, мај 19'!I578</f>
        <v>ПРОЈЕКАТ - Израда пројектне документације и извођење радова на уређењу објекта месне заједнице и полиције у Бешки</v>
      </c>
      <c r="D30" s="6"/>
      <c r="E30" s="2"/>
      <c r="F30" s="4">
        <f>'РЕБ 2, мај 19'!J582</f>
        <v>2460000</v>
      </c>
      <c r="G30" s="4">
        <f>'РЕБ 2, мај 19'!K582</f>
        <v>0</v>
      </c>
      <c r="H30" s="4">
        <f>'РЕБ 2, мај 19'!L582</f>
        <v>2460000</v>
      </c>
    </row>
    <row r="31" spans="1:12" ht="57" customHeight="1" x14ac:dyDescent="0.2">
      <c r="A31" s="11"/>
      <c r="B31" s="11"/>
      <c r="C31" s="102" t="str">
        <f>'РЕБ 2, мај 19'!I584</f>
        <v>ПРОЈЕКАТ -  Израда техничке документације на  уређењу просторија месне заједнице Стари Сланкамен</v>
      </c>
      <c r="D31" s="6"/>
      <c r="E31" s="2"/>
      <c r="F31" s="4">
        <f>'РЕБ 2, мај 19'!J585</f>
        <v>500000</v>
      </c>
      <c r="G31" s="4">
        <f>'РЕБ 2, мај 19'!K585</f>
        <v>0</v>
      </c>
      <c r="H31" s="4">
        <f>'РЕБ 2, мај 19'!L585</f>
        <v>500000</v>
      </c>
    </row>
    <row r="32" spans="1:12" ht="57" customHeight="1" x14ac:dyDescent="0.2">
      <c r="A32" s="11"/>
      <c r="B32" s="11"/>
      <c r="C32" s="102" t="str">
        <f>'РЕБ 2, мај 19'!I589</f>
        <v>ПРОЈЕКАТ  -  Изградња кућних прикључака  фекалне канализације Бешка</v>
      </c>
      <c r="D32" s="6"/>
      <c r="E32" s="2"/>
      <c r="F32" s="4">
        <f>'РЕБ 2, мај 19'!J590</f>
        <v>11550000</v>
      </c>
      <c r="G32" s="4">
        <f>'РЕБ 2, мај 19'!K590</f>
        <v>0</v>
      </c>
      <c r="H32" s="4">
        <f>'РЕБ 2, мај 19'!L590</f>
        <v>11550000</v>
      </c>
    </row>
    <row r="33" spans="1:12" ht="79.5" customHeight="1" x14ac:dyDescent="0.2">
      <c r="A33" s="11"/>
      <c r="B33" s="11"/>
      <c r="C33" s="102" t="str">
        <f>'РЕБ 2, мај 19'!I594</f>
        <v>ПРОЈЕКАТ  -  Израда техничке документације  изградње фекалне канализације (Крчедин, Марадик, Нови Карловци, Нови Сланкамен и Стари Сланкамен)</v>
      </c>
      <c r="D33" s="6"/>
      <c r="E33" s="2"/>
      <c r="F33" s="4">
        <f>'РЕБ 2, мај 19'!J595</f>
        <v>1000000</v>
      </c>
      <c r="G33" s="4">
        <f>'РЕБ 2, мај 19'!K595</f>
        <v>0</v>
      </c>
      <c r="H33" s="4">
        <f>'РЕБ 2, мај 19'!L595</f>
        <v>1000000</v>
      </c>
    </row>
    <row r="34" spans="1:12" ht="54" customHeight="1" x14ac:dyDescent="0.2">
      <c r="A34" s="11"/>
      <c r="B34" s="11"/>
      <c r="C34" s="202" t="str">
        <f>'РЕБ 2, мај 19'!I599</f>
        <v>ПРОЈЕКАТ  -  Изградња колектора фекалне канализације за потребе индустријске зоне Бешка</v>
      </c>
      <c r="D34" s="6"/>
      <c r="E34" s="2"/>
      <c r="F34" s="94">
        <f>'РЕБ 2, мај 19'!J600</f>
        <v>100000</v>
      </c>
      <c r="G34" s="94">
        <f>'РЕБ 2, мај 19'!K600</f>
        <v>0</v>
      </c>
      <c r="H34" s="94">
        <f>'РЕБ 2, мај 19'!L600</f>
        <v>100000</v>
      </c>
    </row>
    <row r="35" spans="1:12" ht="63" customHeight="1" x14ac:dyDescent="0.2">
      <c r="A35" s="11"/>
      <c r="B35" s="11"/>
      <c r="C35" s="6" t="str">
        <f>'РЕБ 2, мај 19'!I604</f>
        <v>ПРОЈЕКАТ - Извођење радова на опремању индустријске зоне Бешка (пут, вода и фекална канализација)</v>
      </c>
      <c r="D35" s="6"/>
      <c r="E35" s="2"/>
      <c r="F35" s="4">
        <f>'РЕБ 2, мај 19'!J608</f>
        <v>22260000</v>
      </c>
      <c r="G35" s="4">
        <f>'РЕБ 2, мај 19'!K608</f>
        <v>0</v>
      </c>
      <c r="H35" s="4">
        <f>'РЕБ 2, мај 19'!L608</f>
        <v>22260000</v>
      </c>
    </row>
    <row r="36" spans="1:12" ht="54" customHeight="1" x14ac:dyDescent="0.2">
      <c r="A36" s="11"/>
      <c r="B36" s="11"/>
      <c r="C36" s="6" t="str">
        <f>'РЕБ 2, мај 19'!I610</f>
        <v>ПРОЈЕКАТ  - Учешће у изградњи продужетака НН мреже у Калакачи Бешка</v>
      </c>
      <c r="D36" s="6"/>
      <c r="E36" s="2"/>
      <c r="F36" s="4">
        <f>'РЕБ 2, мај 19'!J611</f>
        <v>1950000</v>
      </c>
      <c r="G36" s="4">
        <f>'РЕБ 2, мај 19'!K611</f>
        <v>0</v>
      </c>
      <c r="H36" s="4">
        <f>'РЕБ 2, мај 19'!L611</f>
        <v>1950000</v>
      </c>
    </row>
    <row r="37" spans="1:12" ht="47.25" customHeight="1" x14ac:dyDescent="0.2">
      <c r="A37" s="11"/>
      <c r="B37" s="11"/>
      <c r="C37" s="831" t="str">
        <f>'РЕБ 2, мај 19'!I615</f>
        <v>ПРОЈЕКАТ  - Израда пројектне документације реконструкције градске пијаце у Инђији</v>
      </c>
      <c r="D37" s="6"/>
      <c r="E37" s="2"/>
      <c r="F37" s="4">
        <f>'РЕБ 2, мај 19'!J616</f>
        <v>4500000</v>
      </c>
      <c r="G37" s="4">
        <f>'РЕБ 2, мај 19'!K616</f>
        <v>0</v>
      </c>
      <c r="H37" s="4">
        <f>'РЕБ 2, мај 19'!L616</f>
        <v>4500000</v>
      </c>
    </row>
    <row r="38" spans="1:12" ht="47.25" customHeight="1" x14ac:dyDescent="0.2">
      <c r="A38" s="11"/>
      <c r="B38" s="11"/>
      <c r="C38" s="95" t="str">
        <f>'РЕБ 2, мај 19'!I620</f>
        <v>ПРОЈЕКАТ  - Реконструкција градске пијаце у Инђији</v>
      </c>
      <c r="D38" s="6"/>
      <c r="E38" s="2"/>
      <c r="F38" s="4">
        <f>'РЕБ 2, мај 19'!J625</f>
        <v>240800000</v>
      </c>
      <c r="G38" s="4">
        <f>'РЕБ 2, мај 19'!K625</f>
        <v>0</v>
      </c>
      <c r="H38" s="4">
        <f>'РЕБ 2, мај 19'!L625</f>
        <v>240800000</v>
      </c>
    </row>
    <row r="39" spans="1:12" ht="107.25" customHeight="1" x14ac:dyDescent="0.2">
      <c r="A39" s="11"/>
      <c r="B39" s="11"/>
      <c r="C39" s="6" t="str">
        <f>'РЕБ 2, мај 19'!I627</f>
        <v>ПРОЈЕКАТ 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v>
      </c>
      <c r="D39" s="6"/>
      <c r="E39" s="2"/>
      <c r="F39" s="4">
        <f>'РЕБ 2, мај 19'!J628</f>
        <v>5000000</v>
      </c>
      <c r="G39" s="4">
        <f>'РЕБ 2, мај 19'!K628</f>
        <v>0</v>
      </c>
      <c r="H39" s="4">
        <f>'РЕБ 2, мај 19'!L628</f>
        <v>5000000</v>
      </c>
    </row>
    <row r="40" spans="1:12" ht="151.5" customHeight="1" x14ac:dyDescent="0.2">
      <c r="A40" s="11"/>
      <c r="B40" s="11"/>
      <c r="C40" s="6" t="str">
        <f>'РЕБ 2, мај 19'!I632</f>
        <v>ПРОЈЕКАТ - Извођење радова на опремању индустријске зоне Локација 15 - друга фаза (пут, вода и фекална канализација дуж саобраћајнице С-2) - фаза изградње фекалне канализације дуж десног крака саобраћајнице С2 од шахта Ф3-19 до шахта Ф2-27</v>
      </c>
      <c r="D40" s="6"/>
      <c r="E40" s="2"/>
      <c r="F40" s="4">
        <f>'РЕБ 2, мај 19'!J637</f>
        <v>22800000</v>
      </c>
      <c r="G40" s="4">
        <f>'РЕБ 2, мај 19'!K637</f>
        <v>0</v>
      </c>
      <c r="H40" s="4">
        <f>'РЕБ 2, мај 19'!L637</f>
        <v>22800000</v>
      </c>
    </row>
    <row r="41" spans="1:12" ht="62.25" customHeight="1" x14ac:dyDescent="0.2">
      <c r="A41" s="11"/>
      <c r="B41" s="11"/>
      <c r="C41" s="6" t="str">
        <f>'РЕБ 2, мај 19'!I639</f>
        <v>ПРОЈЕКАТ  - Стручни надзор над изградњом водоводне мреже и фекалне канализације дуж саобраћајнице С2</v>
      </c>
      <c r="D41" s="6"/>
      <c r="E41" s="2"/>
      <c r="F41" s="4">
        <f>'РЕБ 2, мај 19'!J640</f>
        <v>1200000</v>
      </c>
      <c r="G41" s="4">
        <f>'РЕБ 2, мај 19'!K640</f>
        <v>0</v>
      </c>
      <c r="H41" s="4">
        <f>'РЕБ 2, мај 19'!L640</f>
        <v>1200000</v>
      </c>
    </row>
    <row r="42" spans="1:12" ht="65.25" customHeight="1" x14ac:dyDescent="0.2">
      <c r="A42" s="11"/>
      <c r="B42" s="11"/>
      <c r="C42" s="6" t="str">
        <f>'РЕБ 2, мај 19'!I644</f>
        <v>ПРОЈЕКАТ  - Стручни надзор над изградњом колектора фекалне канализације за потребе индустријске зоне Бешка</v>
      </c>
      <c r="D42" s="6"/>
      <c r="E42" s="2"/>
      <c r="F42" s="4">
        <f>'РЕБ 2, мај 19'!J645</f>
        <v>500000</v>
      </c>
      <c r="G42" s="4">
        <f>'РЕБ 2, мај 19'!K645</f>
        <v>0</v>
      </c>
      <c r="H42" s="4">
        <f>'РЕБ 2, мај 19'!L645</f>
        <v>500000</v>
      </c>
    </row>
    <row r="43" spans="1:12" ht="51" customHeight="1" x14ac:dyDescent="0.2">
      <c r="A43" s="11"/>
      <c r="B43" s="11"/>
      <c r="C43" s="6" t="str">
        <f>'РЕБ 2, мај 19'!I649</f>
        <v>ПРОЈЕКАТ - Израда техничке документације за уређење комплекса пијаце у Бешки</v>
      </c>
      <c r="D43" s="6"/>
      <c r="E43" s="2"/>
      <c r="F43" s="4">
        <f>'РЕБ 2, мај 19'!J650</f>
        <v>600000</v>
      </c>
      <c r="G43" s="4">
        <f>'РЕБ 2, мај 19'!K650</f>
        <v>0</v>
      </c>
      <c r="H43" s="4">
        <f>'РЕБ 2, мај 19'!L650</f>
        <v>600000</v>
      </c>
    </row>
    <row r="44" spans="1:12" ht="45" customHeight="1" x14ac:dyDescent="0.2">
      <c r="A44" s="11"/>
      <c r="B44" s="11"/>
      <c r="C44" s="6" t="str">
        <f>'РЕБ 2, мај 19'!I666</f>
        <v>ПРОЈЕКАТ - Набавка камиона кипера и камиона смећара</v>
      </c>
      <c r="D44" s="6"/>
      <c r="E44" s="2"/>
      <c r="F44" s="4">
        <f>'РЕБ 2, мај 19'!J670</f>
        <v>5060000</v>
      </c>
      <c r="G44" s="4">
        <f>'РЕБ 2, мај 19'!K670</f>
        <v>0</v>
      </c>
      <c r="H44" s="4">
        <f>'РЕБ 2, мај 19'!L670</f>
        <v>5060000</v>
      </c>
    </row>
    <row r="45" spans="1:12" ht="31.5" customHeight="1" x14ac:dyDescent="0.2">
      <c r="A45" s="11"/>
      <c r="B45" s="11"/>
      <c r="C45" s="6" t="str">
        <f>'РЕБ 2, мај 19'!I673</f>
        <v>ПРОЈЕКАТ - Набавка возила - ПАУК</v>
      </c>
      <c r="D45" s="6"/>
      <c r="E45" s="2"/>
      <c r="F45" s="4">
        <f>'РЕБ 2, мај 19'!J677</f>
        <v>15962000</v>
      </c>
      <c r="G45" s="4">
        <f>'РЕБ 2, мај 19'!K677</f>
        <v>0</v>
      </c>
      <c r="H45" s="4">
        <f>'РЕБ 2, мај 19'!L677</f>
        <v>15962000</v>
      </c>
    </row>
    <row r="46" spans="1:12" ht="69" customHeight="1" x14ac:dyDescent="0.2">
      <c r="A46" s="11"/>
      <c r="B46" s="11"/>
      <c r="C46" s="6" t="str">
        <f>'РЕБ 2, мај 19'!I680</f>
        <v>ПРОЈЕКАТ -  Изградња фекалне канализације дуж саобраћајнице С1 у радној зони Локација 15 КО Инђија у дужини 600 м</v>
      </c>
      <c r="D46" s="6"/>
      <c r="E46" s="2"/>
      <c r="F46" s="4">
        <f>'РЕБ 2, мај 19'!J685</f>
        <v>8540000</v>
      </c>
      <c r="G46" s="4">
        <f>'РЕБ 2, мај 19'!K685</f>
        <v>0</v>
      </c>
      <c r="H46" s="4">
        <f>'РЕБ 2, мај 19'!L685</f>
        <v>8540000</v>
      </c>
    </row>
    <row r="47" spans="1:12" ht="66" customHeight="1" x14ac:dyDescent="0.2">
      <c r="A47" s="11"/>
      <c r="B47" s="11"/>
      <c r="C47" s="6" t="str">
        <f>'РЕБ 2, мај 19'!I687</f>
        <v>ПРОЈЕКАТ - Израда техничке документације за уградњу инсталација и опреме у ЦС фекалне канализације у С3 Локација 15 КО Инђија</v>
      </c>
      <c r="D47" s="6"/>
      <c r="E47" s="2"/>
      <c r="F47" s="4">
        <f>'РЕБ 2, мај 19'!J688</f>
        <v>240000</v>
      </c>
      <c r="G47" s="4">
        <f>'РЕБ 2, мај 19'!K688</f>
        <v>0</v>
      </c>
      <c r="H47" s="4">
        <f>'РЕБ 2, мај 19'!L688</f>
        <v>240000</v>
      </c>
    </row>
    <row r="48" spans="1:12" ht="51.75" customHeight="1" x14ac:dyDescent="0.2">
      <c r="A48" s="34" t="s">
        <v>253</v>
      </c>
      <c r="B48" s="34"/>
      <c r="C48" s="35" t="s">
        <v>400</v>
      </c>
      <c r="D48" s="35" t="s">
        <v>476</v>
      </c>
      <c r="E48" s="35" t="s">
        <v>477</v>
      </c>
      <c r="F48" s="36">
        <f>SUM(F49:F65)</f>
        <v>138738431</v>
      </c>
      <c r="G48" s="36">
        <f>SUM(G49:G65)</f>
        <v>0</v>
      </c>
      <c r="H48" s="36">
        <f>SUM(H49:H65)</f>
        <v>138738431</v>
      </c>
      <c r="L48" s="87"/>
    </row>
    <row r="49" spans="1:8" ht="45" x14ac:dyDescent="0.2">
      <c r="A49" s="11"/>
      <c r="B49" s="11" t="str">
        <f>'РЕБ 2, мај 19'!E695</f>
        <v>1501-0001</v>
      </c>
      <c r="C49" s="6" t="str">
        <f>'РЕБ 2, мај 19'!I695</f>
        <v>Унапређење привредног  и инвестиционог амбијента</v>
      </c>
      <c r="D49" s="6" t="s">
        <v>585</v>
      </c>
      <c r="E49" s="6" t="s">
        <v>586</v>
      </c>
      <c r="F49" s="5">
        <f>'РЕБ 2, мај 19'!J699+'РЕБ 2, мај 19'!J707+'РЕБ 2, мај 19'!J717</f>
        <v>25365000</v>
      </c>
      <c r="G49" s="5">
        <f>'РЕБ 2, мај 19'!K699+'РЕБ 2, мај 19'!K707+'РЕБ 2, мај 19'!K717</f>
        <v>0</v>
      </c>
      <c r="H49" s="5">
        <f>'РЕБ 2, мај 19'!L699+'РЕБ 2, мај 19'!L707+'РЕБ 2, мај 19'!L717</f>
        <v>25365000</v>
      </c>
    </row>
    <row r="50" spans="1:8" ht="64.5" customHeight="1" x14ac:dyDescent="0.2">
      <c r="A50" s="11"/>
      <c r="B50" s="11" t="str">
        <f>'РЕБ 2, мај 19'!E722</f>
        <v>1501-0003</v>
      </c>
      <c r="C50" s="6" t="str">
        <f>'РЕБ 2, мај 19'!I722</f>
        <v>Подршка економском развоју и промоцији предузетништва</v>
      </c>
      <c r="D50" s="6" t="s">
        <v>478</v>
      </c>
      <c r="E50" s="6" t="s">
        <v>479</v>
      </c>
      <c r="F50" s="5">
        <f>'РЕБ 2, мај 19'!J728</f>
        <v>11461603</v>
      </c>
      <c r="G50" s="5">
        <f>'РЕБ 2, мај 19'!K728</f>
        <v>0</v>
      </c>
      <c r="H50" s="5">
        <f>'РЕБ 2, мај 19'!L728</f>
        <v>11461603</v>
      </c>
    </row>
    <row r="51" spans="1:8" ht="64.5" customHeight="1" x14ac:dyDescent="0.2">
      <c r="A51" s="11"/>
      <c r="B51" s="11"/>
      <c r="C51" s="6" t="str">
        <f>'РЕБ 2, мај 19'!I737</f>
        <v>ПРОЈЕКАТ  - Центар за заштиту потрошача - образовни потрошач Инђија - суфинасирање пројеката</v>
      </c>
      <c r="D51" s="6"/>
      <c r="E51" s="6"/>
      <c r="F51" s="5">
        <f>'РЕБ 2, мај 19'!J740</f>
        <v>65000</v>
      </c>
      <c r="G51" s="5">
        <f>'РЕБ 2, мај 19'!K740</f>
        <v>0</v>
      </c>
      <c r="H51" s="5">
        <f>'РЕБ 2, мај 19'!L740</f>
        <v>65000</v>
      </c>
    </row>
    <row r="52" spans="1:8" ht="33.75" x14ac:dyDescent="0.2">
      <c r="A52" s="11"/>
      <c r="B52" s="11"/>
      <c r="C52" s="14" t="str">
        <f>'РЕБ 2, мај 19'!I732</f>
        <v>ПРОЈЕКАТ  - КОНКУРС ЗА ОСТАЛЕ НЕВЛАДИНЕ ОРГАНИЗАЦИЈЕ</v>
      </c>
      <c r="D52" s="6"/>
      <c r="E52" s="6"/>
      <c r="F52" s="5">
        <f>'РЕБ 2, мај 19'!J733</f>
        <v>10230000</v>
      </c>
      <c r="G52" s="5">
        <f>'РЕБ 2, мај 19'!K733</f>
        <v>0</v>
      </c>
      <c r="H52" s="5">
        <f>'РЕБ 2, мај 19'!L733</f>
        <v>10230000</v>
      </c>
    </row>
    <row r="53" spans="1:8" ht="48.75" customHeight="1" x14ac:dyDescent="0.2">
      <c r="A53" s="11"/>
      <c r="B53" s="11"/>
      <c r="C53" s="14" t="str">
        <f>'РЕБ 2, мај 19'!I743</f>
        <v>ПРОЈЕКАТ  - Израда геомеханичког елабората земљишта на локацији 15 у Инђији</v>
      </c>
      <c r="D53" s="6"/>
      <c r="E53" s="6"/>
      <c r="F53" s="5">
        <f>'РЕБ 2, мај 19'!J744</f>
        <v>600000</v>
      </c>
      <c r="G53" s="5">
        <f>'РЕБ 2, мај 19'!K746</f>
        <v>0</v>
      </c>
      <c r="H53" s="5">
        <f>'РЕБ 2, мај 19'!L746</f>
        <v>600000</v>
      </c>
    </row>
    <row r="54" spans="1:8" ht="33.75" x14ac:dyDescent="0.2">
      <c r="A54" s="11"/>
      <c r="B54" s="11"/>
      <c r="C54" s="96" t="str">
        <f>'РЕБ 2, мај 19'!I750</f>
        <v>ПРОЈЕКАТ  - ПОДСТИЦАЈИ ЗА РАЗВОЈ ПРЕДУЗЕТНИШТВА</v>
      </c>
      <c r="D54" s="6"/>
      <c r="E54" s="6"/>
      <c r="F54" s="5">
        <f>'РЕБ 2, мај 19'!J751</f>
        <v>13370000</v>
      </c>
      <c r="G54" s="5">
        <f>'РЕБ 2, мај 19'!K751</f>
        <v>0</v>
      </c>
      <c r="H54" s="5">
        <f>'РЕБ 2, мај 19'!L751</f>
        <v>13370000</v>
      </c>
    </row>
    <row r="55" spans="1:8" ht="56.25" x14ac:dyDescent="0.2">
      <c r="A55" s="11"/>
      <c r="B55" s="11"/>
      <c r="C55" s="96" t="str">
        <f>'РЕБ 2, мај 19'!I757</f>
        <v>ПРОЈЕКАТ  - СУБВЕНЦИОНИСАЊЕ ДЕЛА КАМАТНИХ СТОПА ЗА ПРЕДУЗЕЋА И ПРЕДУЗЕТНИКЕ</v>
      </c>
      <c r="D55" s="6"/>
      <c r="E55" s="6"/>
      <c r="F55" s="5">
        <f>'РЕБ 2, мај 19'!J758</f>
        <v>5000000</v>
      </c>
      <c r="G55" s="5">
        <f>'РЕБ 2, мај 19'!K758</f>
        <v>0</v>
      </c>
      <c r="H55" s="5">
        <f>'РЕБ 2, мај 19'!L758</f>
        <v>5000000</v>
      </c>
    </row>
    <row r="56" spans="1:8" ht="22.5" x14ac:dyDescent="0.2">
      <c r="A56" s="11"/>
      <c r="B56" s="11"/>
      <c r="C56" s="96" t="str">
        <f>'РЕБ 2, мај 19'!I764</f>
        <v>ПРОЈЕКАТ  - Промоција општине Инђија</v>
      </c>
      <c r="D56" s="6"/>
      <c r="E56" s="6"/>
      <c r="F56" s="5">
        <f>'РЕБ 2, мај 19'!J768</f>
        <v>12500000</v>
      </c>
      <c r="G56" s="5">
        <f>'РЕБ 2, мај 19'!K768</f>
        <v>0</v>
      </c>
      <c r="H56" s="5">
        <f>'РЕБ 2, мај 19'!L768</f>
        <v>12500000</v>
      </c>
    </row>
    <row r="57" spans="1:8" ht="22.5" x14ac:dyDescent="0.2">
      <c r="A57" s="11"/>
      <c r="B57" s="11"/>
      <c r="C57" s="96" t="str">
        <f>'РЕБ 2, мај 19'!I771</f>
        <v>ПРОЈЕКАТ  - Дунавско село "Риверленд"</v>
      </c>
      <c r="D57" s="6"/>
      <c r="E57" s="6"/>
      <c r="F57" s="5">
        <f>'РЕБ 2, мај 19'!J772</f>
        <v>500000</v>
      </c>
      <c r="G57" s="5">
        <f>'РЕБ 2, мај 19'!K772</f>
        <v>0</v>
      </c>
      <c r="H57" s="5">
        <f>'РЕБ 2, мај 19'!L772</f>
        <v>500000</v>
      </c>
    </row>
    <row r="58" spans="1:8" ht="54" customHeight="1" x14ac:dyDescent="0.2">
      <c r="A58" s="11"/>
      <c r="B58" s="11"/>
      <c r="C58" s="96" t="str">
        <f>'РЕБ 2, мај 19'!I778</f>
        <v>ПРОЈЕКАТ  - "ПОДСТИЦАЈИ ЗАПОШЉАВАЊА НЕЗАПОСЛЕНИХ ЛИЦА"</v>
      </c>
      <c r="D58" s="6"/>
      <c r="E58" s="6"/>
      <c r="F58" s="5">
        <f>'РЕБ 2, мај 19'!J779</f>
        <v>8000000</v>
      </c>
      <c r="G58" s="5">
        <f>'РЕБ 2, мај 19'!K779</f>
        <v>0</v>
      </c>
      <c r="H58" s="5">
        <f>'РЕБ 2, мај 19'!L779</f>
        <v>8000000</v>
      </c>
    </row>
    <row r="59" spans="1:8" ht="43.5" customHeight="1" x14ac:dyDescent="0.2">
      <c r="A59" s="11"/>
      <c r="B59" s="11"/>
      <c r="C59" s="99" t="str">
        <f>'РЕБ 2, мај 19'!I783</f>
        <v>ПРОЈЕКАТ  - ПОДСТИЦАЈИ ЗА РАД ИНКУБАТОРА ЗА ИНОВАТИВНЕ START-UP КОМПАНИЈЕ</v>
      </c>
      <c r="D59" s="6"/>
      <c r="E59" s="6"/>
      <c r="F59" s="5">
        <f>'РЕБ 2, мај 19'!J784</f>
        <v>3000000</v>
      </c>
      <c r="G59" s="5">
        <f>'РЕБ 2, мај 19'!K784</f>
        <v>0</v>
      </c>
      <c r="H59" s="5">
        <f>'РЕБ 2, мај 19'!L784</f>
        <v>3000000</v>
      </c>
    </row>
    <row r="60" spans="1:8" ht="27" customHeight="1" x14ac:dyDescent="0.2">
      <c r="A60" s="11"/>
      <c r="B60" s="11"/>
      <c r="C60" s="6" t="str">
        <f>'РЕБ 2, мај 19'!I789</f>
        <v>ПРОЈЕКАТ - РАЗВОЈНИ ПРОЈЕКТИ</v>
      </c>
      <c r="D60" s="6"/>
      <c r="E60" s="6"/>
      <c r="F60" s="5">
        <f>'РЕБ 2, мај 19'!J793</f>
        <v>29901000</v>
      </c>
      <c r="G60" s="5">
        <f>'РЕБ 2, мај 19'!K793</f>
        <v>0</v>
      </c>
      <c r="H60" s="5">
        <f>'РЕБ 2, мај 19'!L793</f>
        <v>29901000</v>
      </c>
    </row>
    <row r="61" spans="1:8" ht="66" customHeight="1" x14ac:dyDescent="0.2">
      <c r="A61" s="11"/>
      <c r="B61" s="11"/>
      <c r="C61" s="100" t="str">
        <f>'РЕБ 2, мај 19'!I799</f>
        <v xml:space="preserve">ПРОЈЕКАТ - Изградња царинског складишта </v>
      </c>
      <c r="D61" s="6"/>
      <c r="E61" s="2"/>
      <c r="F61" s="98">
        <f>'РЕБ 2, мај 19'!J803</f>
        <v>3000</v>
      </c>
      <c r="G61" s="98">
        <f>'РЕБ 2, мај 19'!K803</f>
        <v>0</v>
      </c>
      <c r="H61" s="98">
        <f>'РЕБ 2, мај 19'!L803</f>
        <v>3000</v>
      </c>
    </row>
    <row r="62" spans="1:8" ht="66" customHeight="1" x14ac:dyDescent="0.2">
      <c r="A62" s="11"/>
      <c r="B62" s="11"/>
      <c r="C62" s="100" t="str">
        <f>'РЕБ 2, мај 19'!I806</f>
        <v xml:space="preserve">ПРОЈЕКАТ - Израда пројектне документације и реконструкција зграде суда  у Инђији </v>
      </c>
      <c r="D62" s="6"/>
      <c r="E62" s="2"/>
      <c r="F62" s="98">
        <f>'РЕБ 2, мај 19'!J810</f>
        <v>6092828</v>
      </c>
      <c r="G62" s="98">
        <f>'РЕБ 2, мај 19'!K810</f>
        <v>0</v>
      </c>
      <c r="H62" s="98">
        <f>'РЕБ 2, мај 19'!L810</f>
        <v>6092828</v>
      </c>
    </row>
    <row r="63" spans="1:8" ht="84.75" customHeight="1" x14ac:dyDescent="0.2">
      <c r="A63" s="11"/>
      <c r="B63" s="11"/>
      <c r="C63" s="100" t="str">
        <f>'РЕБ 2, мај 19'!I812</f>
        <v>ПРОЈЕКАТ - Инвестициони радови на текућем одржавању зграде суда  у Инђији - молерско фарбарски, електро и подополагачки радови</v>
      </c>
      <c r="D63" s="6"/>
      <c r="E63" s="2"/>
      <c r="F63" s="98">
        <f>'РЕБ 2, мај 19'!J816</f>
        <v>6150000</v>
      </c>
      <c r="G63" s="98">
        <f>'РЕБ 2, мај 19'!K816</f>
        <v>0</v>
      </c>
      <c r="H63" s="98">
        <f>'РЕБ 2, мај 19'!L816</f>
        <v>6150000</v>
      </c>
    </row>
    <row r="64" spans="1:8" ht="66" customHeight="1" x14ac:dyDescent="0.2">
      <c r="A64" s="11"/>
      <c r="B64" s="11"/>
      <c r="C64" s="100" t="str">
        <f>'РЕБ 2, мај 19'!I818</f>
        <v xml:space="preserve">ПРОЈЕКАТ - Набавка канцеларијске опреме за зграду суда  у Инђији </v>
      </c>
      <c r="D64" s="6"/>
      <c r="E64" s="2"/>
      <c r="F64" s="98">
        <f>'РЕБ 2, мај 19'!J821</f>
        <v>4000000</v>
      </c>
      <c r="G64" s="98">
        <f>'РЕБ 2, мај 19'!K821</f>
        <v>0</v>
      </c>
      <c r="H64" s="98">
        <f>'РЕБ 2, мај 19'!L821</f>
        <v>4000000</v>
      </c>
    </row>
    <row r="65" spans="1:12" ht="66" customHeight="1" x14ac:dyDescent="0.2">
      <c r="A65" s="11"/>
      <c r="B65" s="11"/>
      <c r="C65" s="100" t="str">
        <f>'РЕБ 2, мај 19'!I823</f>
        <v>ПРОЈЕКАТ - Израда 3Д модела рекламних плаката и брошура за потребе инвестиција предвиђених програмом</v>
      </c>
      <c r="D65" s="6"/>
      <c r="E65" s="2"/>
      <c r="F65" s="98">
        <f>'РЕБ 2, мај 19'!J824</f>
        <v>2500000</v>
      </c>
      <c r="G65" s="98">
        <f>'РЕБ 2, мај 19'!K824</f>
        <v>0</v>
      </c>
      <c r="H65" s="98">
        <f>'РЕБ 2, мај 19'!L824</f>
        <v>2500000</v>
      </c>
    </row>
    <row r="66" spans="1:12" ht="22.5" x14ac:dyDescent="0.2">
      <c r="A66" s="34" t="s">
        <v>377</v>
      </c>
      <c r="B66" s="34"/>
      <c r="C66" s="35" t="s">
        <v>401</v>
      </c>
      <c r="D66" s="35" t="s">
        <v>480</v>
      </c>
      <c r="E66" s="35" t="s">
        <v>481</v>
      </c>
      <c r="F66" s="36">
        <f>SUM(F67:F69)</f>
        <v>21118300</v>
      </c>
      <c r="G66" s="36">
        <f t="shared" ref="G66:H66" si="2">SUM(G67:G69)</f>
        <v>282000</v>
      </c>
      <c r="H66" s="36">
        <f t="shared" si="2"/>
        <v>21400300</v>
      </c>
      <c r="L66" s="87"/>
    </row>
    <row r="67" spans="1:12" ht="33.75" x14ac:dyDescent="0.2">
      <c r="A67" s="11"/>
      <c r="B67" s="7" t="s">
        <v>226</v>
      </c>
      <c r="C67" s="2" t="str">
        <f>'РЕБ 2, мај 19'!I835</f>
        <v>Управљање развојем туризма</v>
      </c>
      <c r="D67" s="2" t="s">
        <v>482</v>
      </c>
      <c r="E67" s="2" t="s">
        <v>483</v>
      </c>
      <c r="F67" s="5">
        <f>'РЕБ 2, мај 19'!J855</f>
        <v>6798300</v>
      </c>
      <c r="G67" s="5">
        <f>'РЕБ 2, мај 19'!K855</f>
        <v>7000</v>
      </c>
      <c r="H67" s="5">
        <f>'РЕБ 2, мај 19'!L855</f>
        <v>6805300</v>
      </c>
    </row>
    <row r="68" spans="1:12" ht="33.75" x14ac:dyDescent="0.2">
      <c r="A68" s="11"/>
      <c r="B68" s="7" t="s">
        <v>236</v>
      </c>
      <c r="C68" s="2" t="str">
        <f>'РЕБ 2, мај 19'!I858</f>
        <v xml:space="preserve">Промоција туристичке понуде </v>
      </c>
      <c r="D68" s="2" t="s">
        <v>484</v>
      </c>
      <c r="E68" s="2" t="s">
        <v>485</v>
      </c>
      <c r="F68" s="3">
        <f>'РЕБ 2, мај 19'!J871</f>
        <v>8770000</v>
      </c>
      <c r="G68" s="3">
        <f>'РЕБ 2, мај 19'!K871</f>
        <v>275000</v>
      </c>
      <c r="H68" s="3">
        <f>'РЕБ 2, мај 19'!L871</f>
        <v>9045000</v>
      </c>
      <c r="L68" s="87"/>
    </row>
    <row r="69" spans="1:12" ht="38.25" customHeight="1" x14ac:dyDescent="0.2">
      <c r="A69" s="11"/>
      <c r="B69" s="7"/>
      <c r="C69" s="10" t="str">
        <f>'РЕБ 2, мај 19'!I873</f>
        <v>ПРОЈЕКАТ - РЕКОНСТРУКЦИЈА КЕЛТСКОГ НАСЕЉА</v>
      </c>
      <c r="D69" s="2"/>
      <c r="E69" s="2"/>
      <c r="F69" s="3">
        <f>'РЕБ 2, мај 19'!J878</f>
        <v>5550000</v>
      </c>
      <c r="G69" s="3">
        <f>'РЕБ 2, мај 19'!K878</f>
        <v>0</v>
      </c>
      <c r="H69" s="3">
        <f>'РЕБ 2, мај 19'!L878</f>
        <v>5550000</v>
      </c>
    </row>
    <row r="70" spans="1:12" ht="33.75" x14ac:dyDescent="0.2">
      <c r="A70" s="34" t="s">
        <v>254</v>
      </c>
      <c r="B70" s="34"/>
      <c r="C70" s="35" t="s">
        <v>486</v>
      </c>
      <c r="D70" s="35" t="s">
        <v>487</v>
      </c>
      <c r="E70" s="35" t="s">
        <v>577</v>
      </c>
      <c r="F70" s="36">
        <f>SUM(F71:F79)</f>
        <v>249474825</v>
      </c>
      <c r="G70" s="36">
        <f t="shared" ref="G70" si="3">SUM(G71:G76)</f>
        <v>0</v>
      </c>
      <c r="H70" s="36">
        <f>SUM(F70:G70)</f>
        <v>249474825</v>
      </c>
      <c r="L70" s="87"/>
    </row>
    <row r="71" spans="1:12" ht="33.75" x14ac:dyDescent="0.2">
      <c r="A71" s="11"/>
      <c r="B71" s="7" t="s">
        <v>255</v>
      </c>
      <c r="C71" s="2" t="str">
        <f>'РЕБ 2, мај 19'!I885</f>
        <v>Подршка за спровођење пољопривредне политике у локалној заједници</v>
      </c>
      <c r="D71" s="2" t="s">
        <v>488</v>
      </c>
      <c r="E71" s="2" t="s">
        <v>489</v>
      </c>
      <c r="F71" s="3">
        <f>'РЕБ 2, мај 19'!J892+'РЕБ 2, мај 19'!J911</f>
        <v>22750000</v>
      </c>
      <c r="G71" s="3">
        <f>'РЕБ 2, мај 19'!K892+'РЕБ 2, мај 19'!K911</f>
        <v>0</v>
      </c>
      <c r="H71" s="3">
        <f>'РЕБ 2, мај 19'!L892+'РЕБ 2, мај 19'!L911</f>
        <v>22750000</v>
      </c>
    </row>
    <row r="72" spans="1:12" ht="56.25" x14ac:dyDescent="0.2">
      <c r="A72" s="11"/>
      <c r="B72" s="7" t="s">
        <v>419</v>
      </c>
      <c r="C72" s="2" t="str">
        <f>'РЕБ 2, мај 19'!I897</f>
        <v>Мере подршке руралном развоју</v>
      </c>
      <c r="D72" s="2" t="s">
        <v>663</v>
      </c>
      <c r="E72" s="2" t="s">
        <v>490</v>
      </c>
      <c r="F72" s="3">
        <f>'РЕБ 2, мај 19'!J903</f>
        <v>42742825</v>
      </c>
      <c r="G72" s="3">
        <f>'РЕБ 2, мај 19'!K903</f>
        <v>0</v>
      </c>
      <c r="H72" s="3">
        <f>'РЕБ 2, мај 19'!L903</f>
        <v>42742825</v>
      </c>
    </row>
    <row r="73" spans="1:12" ht="45" x14ac:dyDescent="0.2">
      <c r="A73" s="11"/>
      <c r="B73" s="7"/>
      <c r="C73" s="6" t="str">
        <f>'РЕБ 2, мај 19'!I916</f>
        <v>ПРОЈЕКАТ  - Уређење каналске мреже у функцији одводњавања на подручју општине Инђија</v>
      </c>
      <c r="D73" s="2"/>
      <c r="E73" s="2"/>
      <c r="F73" s="3">
        <f>'РЕБ 2, мај 19'!J918</f>
        <v>66500000</v>
      </c>
      <c r="G73" s="3">
        <f>'РЕБ 2, мај 19'!K918</f>
        <v>0</v>
      </c>
      <c r="H73" s="3">
        <f>'РЕБ 2, мај 19'!L918</f>
        <v>66500000</v>
      </c>
    </row>
    <row r="74" spans="1:12" ht="58.5" customHeight="1" x14ac:dyDescent="0.2">
      <c r="A74" s="11"/>
      <c r="B74" s="7"/>
      <c r="C74" s="6" t="str">
        <f>'РЕБ 2, мај 19'!I922</f>
        <v>ПРОЈЕКАТ - Уређење пољопривредне инфраструктуре-атарски путеви</v>
      </c>
      <c r="D74" s="2"/>
      <c r="E74" s="2"/>
      <c r="F74" s="3">
        <f>'РЕБ 2, мај 19'!J926</f>
        <v>54650000</v>
      </c>
      <c r="G74" s="3">
        <f>'РЕБ 2, мај 19'!K926</f>
        <v>0</v>
      </c>
      <c r="H74" s="3">
        <f>'РЕБ 2, мај 19'!L926</f>
        <v>54650000</v>
      </c>
    </row>
    <row r="75" spans="1:12" ht="28.5" customHeight="1" x14ac:dyDescent="0.2">
      <c r="A75" s="11"/>
      <c r="B75" s="7"/>
      <c r="C75" s="6" t="str">
        <f>'РЕБ 2, мај 19'!I930</f>
        <v>ПРОЈЕКАТ  -  Организовање пољочуварске службе</v>
      </c>
      <c r="D75" s="2"/>
      <c r="E75" s="2"/>
      <c r="F75" s="3">
        <f>'РЕБ 2, мај 19'!J933</f>
        <v>13332000</v>
      </c>
      <c r="G75" s="3">
        <f>'РЕБ 2, мај 19'!K933</f>
        <v>0</v>
      </c>
      <c r="H75" s="3">
        <f>'РЕБ 2, мај 19'!L933</f>
        <v>13332000</v>
      </c>
    </row>
    <row r="76" spans="1:12" ht="59.25" customHeight="1" x14ac:dyDescent="0.2">
      <c r="A76" s="11"/>
      <c r="B76" s="7"/>
      <c r="C76" s="6" t="str">
        <f>'РЕБ 2, мај 19'!I937</f>
        <v>ПРОЈЕКАТ - Услуге премера и идентификације катастарских парцела пољопривредног земљишта у државној својини</v>
      </c>
      <c r="D76" s="2"/>
      <c r="E76" s="2"/>
      <c r="F76" s="3">
        <f>'РЕБ 2, мај 19'!J939</f>
        <v>6000000</v>
      </c>
      <c r="G76" s="3">
        <f>'РЕБ 2, мај 19'!K939</f>
        <v>0</v>
      </c>
      <c r="H76" s="3">
        <f>'РЕБ 2, мај 19'!L939</f>
        <v>6000000</v>
      </c>
    </row>
    <row r="77" spans="1:12" ht="25.5" customHeight="1" x14ac:dyDescent="0.2">
      <c r="A77" s="11"/>
      <c r="B77" s="7"/>
      <c r="C77" s="97" t="str">
        <f>'РЕБ 2, мај 19'!I942</f>
        <v xml:space="preserve">ПРОЈЕКАТ  - Узорковање  земљишта </v>
      </c>
      <c r="D77" s="2"/>
      <c r="E77" s="2"/>
      <c r="F77" s="3">
        <f>'РЕБ 2, мај 19'!J944</f>
        <v>4200000</v>
      </c>
      <c r="G77" s="3">
        <f>'РЕБ 2, мај 19'!K944</f>
        <v>0</v>
      </c>
      <c r="H77" s="3">
        <f>'РЕБ 2, мај 19'!L944</f>
        <v>4200000</v>
      </c>
    </row>
    <row r="78" spans="1:12" ht="115.5" customHeight="1" x14ac:dyDescent="0.2">
      <c r="A78" s="11"/>
      <c r="B78" s="7"/>
      <c r="C78" s="97" t="str">
        <f>'РЕБ 2, мај 19'!I952</f>
        <v>ПРОЈЕКАТ - Припремни радови на привођењу земљишта намени, Индустријска зона, локација 3 у Бешки (култивисање локације и уклањање парлога, геодетско обележавање и увођење у посед)</v>
      </c>
      <c r="D78" s="2"/>
      <c r="E78" s="2"/>
      <c r="F78" s="3">
        <f>'РЕБ 2, мај 19'!J954</f>
        <v>600000</v>
      </c>
      <c r="G78" s="3">
        <f>'РЕБ 2, мај 19'!K954</f>
        <v>0</v>
      </c>
      <c r="H78" s="3">
        <f>'РЕБ 2, мај 19'!L954</f>
        <v>600000</v>
      </c>
    </row>
    <row r="79" spans="1:12" ht="100.5" customHeight="1" x14ac:dyDescent="0.2">
      <c r="A79" s="11"/>
      <c r="B79" s="7"/>
      <c r="C79" s="97" t="str">
        <f>'РЕБ 2, мај 19'!I947</f>
        <v>ПРОЈЕКАТ - Израда техничке документацијесистема за наводњавање у Општини Инђија (6000 ха) подсистеми (Нови Сланкамен 2300 ха и  Стари Сланкамен 3700 ха)</v>
      </c>
      <c r="D79" s="2"/>
      <c r="E79" s="2"/>
      <c r="F79" s="3">
        <f>'РЕБ 2, мај 19'!J949</f>
        <v>38700000</v>
      </c>
      <c r="G79" s="3">
        <f>'РЕБ 2, мај 19'!K949</f>
        <v>0</v>
      </c>
      <c r="H79" s="3">
        <f>'РЕБ 2, мај 19'!L949</f>
        <v>38700000</v>
      </c>
    </row>
    <row r="80" spans="1:12" ht="22.5" x14ac:dyDescent="0.2">
      <c r="A80" s="34" t="s">
        <v>257</v>
      </c>
      <c r="B80" s="34"/>
      <c r="C80" s="35" t="s">
        <v>402</v>
      </c>
      <c r="D80" s="35" t="s">
        <v>578</v>
      </c>
      <c r="E80" s="38" t="s">
        <v>491</v>
      </c>
      <c r="F80" s="36">
        <f>SUM(F81:F92)</f>
        <v>97273113.799999997</v>
      </c>
      <c r="G80" s="36"/>
      <c r="H80" s="36">
        <f>SUM(F80:G80)</f>
        <v>97273113.799999997</v>
      </c>
      <c r="L80" s="87"/>
    </row>
    <row r="81" spans="1:12" ht="22.5" x14ac:dyDescent="0.2">
      <c r="A81" s="11"/>
      <c r="B81" s="15" t="s">
        <v>638</v>
      </c>
      <c r="C81" s="6" t="s">
        <v>639</v>
      </c>
      <c r="D81" s="6" t="s">
        <v>661</v>
      </c>
      <c r="E81" s="6" t="s">
        <v>491</v>
      </c>
      <c r="F81" s="3">
        <f>'РЕБ 2, мај 19'!J974</f>
        <v>42000000</v>
      </c>
      <c r="G81" s="3">
        <f>'РЕБ 2, мај 19'!K974</f>
        <v>0</v>
      </c>
      <c r="H81" s="3">
        <f>'РЕБ 2, мај 19'!L974</f>
        <v>42000000</v>
      </c>
    </row>
    <row r="82" spans="1:12" ht="22.5" x14ac:dyDescent="0.2">
      <c r="A82" s="11"/>
      <c r="B82" s="15" t="s">
        <v>492</v>
      </c>
      <c r="C82" s="6" t="str">
        <f>'РЕБ 2, мај 19'!I962</f>
        <v>Управљање отпадним водама</v>
      </c>
      <c r="D82" s="6" t="s">
        <v>493</v>
      </c>
      <c r="E82" s="6" t="s">
        <v>494</v>
      </c>
      <c r="F82" s="3">
        <f>'РЕБ 2, мај 19'!J966</f>
        <v>8484240</v>
      </c>
      <c r="G82" s="3">
        <f>'РЕБ 2, мај 19'!K966</f>
        <v>0</v>
      </c>
      <c r="H82" s="3">
        <f t="shared" ref="H82" si="4">SUM(F82:G82)</f>
        <v>8484240</v>
      </c>
    </row>
    <row r="83" spans="1:12" ht="36.75" customHeight="1" x14ac:dyDescent="0.2">
      <c r="A83" s="11"/>
      <c r="B83" s="15" t="s">
        <v>461</v>
      </c>
      <c r="C83" s="6" t="str">
        <f>'РЕБ 2, мај 19'!I978</f>
        <v>Управљање комуналним отпадом</v>
      </c>
      <c r="D83" s="6" t="s">
        <v>495</v>
      </c>
      <c r="E83" s="6" t="s">
        <v>579</v>
      </c>
      <c r="F83" s="3">
        <f>'РЕБ 2, мај 19'!J983</f>
        <v>8707750</v>
      </c>
      <c r="G83" s="3">
        <f>'РЕБ 2, мај 19'!K983</f>
        <v>0</v>
      </c>
      <c r="H83" s="3">
        <f>'РЕБ 2, мај 19'!L983</f>
        <v>8707750</v>
      </c>
    </row>
    <row r="84" spans="1:12" ht="92.25" customHeight="1" x14ac:dyDescent="0.2">
      <c r="A84" s="11"/>
      <c r="B84" s="15"/>
      <c r="C84" s="6" t="str">
        <f>'РЕБ 2, мај 19'!I992</f>
        <v>ПРОЈЕКАТ  - ИЗРАДА ПРОЈЕКТА САНАЦИЈЕ, ЗАТВАРАЊА И РЕКУЛТИВАЦИЈЕ ПОСТОЈЕЋЕ НЕСАНИТАРНЕ ОПШТИНСКЕ ДЕПОНИЈЕ - СМЕТЛИШТА У ИНЂИЈИ</v>
      </c>
      <c r="D84" s="6"/>
      <c r="E84" s="6"/>
      <c r="F84" s="3">
        <f>'РЕБ 2, мај 19'!J994</f>
        <v>5760000</v>
      </c>
      <c r="G84" s="3">
        <f>'РЕБ 2, мај 19'!K994</f>
        <v>0</v>
      </c>
      <c r="H84" s="3">
        <f>'РЕБ 2, мај 19'!L994</f>
        <v>5760000</v>
      </c>
    </row>
    <row r="85" spans="1:12" ht="60.75" customHeight="1" x14ac:dyDescent="0.2">
      <c r="A85" s="11"/>
      <c r="B85" s="15"/>
      <c r="C85" s="6" t="str">
        <f>'РЕБ 2, мај 19'!I998</f>
        <v>ПРОЈЕКАТ -  Извођење радова на изградњи атмосферске канализације у улицама Иве Андрића и Расадничка у Бешки</v>
      </c>
      <c r="D85" s="6"/>
      <c r="E85" s="6"/>
      <c r="F85" s="3">
        <f>'РЕБ 2, мај 19'!J1001</f>
        <v>1000000</v>
      </c>
      <c r="G85" s="3">
        <f>'РЕБ 2, мај 19'!K1001</f>
        <v>0</v>
      </c>
      <c r="H85" s="3">
        <f>'РЕБ 2, мај 19'!L1001</f>
        <v>1000000</v>
      </c>
    </row>
    <row r="86" spans="1:12" ht="51.75" customHeight="1" x14ac:dyDescent="0.2">
      <c r="A86" s="11"/>
      <c r="B86" s="15"/>
      <c r="C86" s="6" t="str">
        <f>'РЕБ 2, мај 19'!I1005</f>
        <v xml:space="preserve">ПРОЈЕКАТ  - Израда Идејног решења одвођења атмосферских вода насељених места Инђија </v>
      </c>
      <c r="D86" s="6"/>
      <c r="E86" s="6"/>
      <c r="F86" s="3">
        <f>'РЕБ 2, мај 19'!J1006</f>
        <v>2000000</v>
      </c>
      <c r="G86" s="3">
        <f>'РЕБ 2, мај 19'!K1006</f>
        <v>0</v>
      </c>
      <c r="H86" s="3">
        <f>'РЕБ 2, мај 19'!L1006</f>
        <v>2000000</v>
      </c>
    </row>
    <row r="87" spans="1:12" ht="51.75" customHeight="1" x14ac:dyDescent="0.2">
      <c r="A87" s="11"/>
      <c r="B87" s="15"/>
      <c r="C87" s="6" t="str">
        <f>'РЕБ 2, мај 19'!I1010</f>
        <v>ПРОЈЕКАТ - Изградња  атмосферске канализације у Војвођанској и улици Соње Маринковић</v>
      </c>
      <c r="D87" s="6"/>
      <c r="E87" s="6"/>
      <c r="F87" s="3">
        <f>'РЕБ 2, мај 19'!J1015</f>
        <v>22729840</v>
      </c>
      <c r="G87" s="3">
        <f>'РЕБ 2, мај 19'!K1015</f>
        <v>0</v>
      </c>
      <c r="H87" s="3">
        <f>'РЕБ 2, мај 19'!L1015</f>
        <v>22729840</v>
      </c>
    </row>
    <row r="88" spans="1:12" ht="53.25" customHeight="1" x14ac:dyDescent="0.2">
      <c r="A88" s="11"/>
      <c r="B88" s="15"/>
      <c r="C88" s="6" t="str">
        <f>'РЕБ 2, мај 19'!I1017</f>
        <v>ПРОЈЕКАТ  - Израда Идејног решења атмосферске канализације насеља Инђија - слив 3</v>
      </c>
      <c r="D88" s="6"/>
      <c r="E88" s="6"/>
      <c r="F88" s="3">
        <f>'РЕБ 2, мај 19'!J1018</f>
        <v>500000</v>
      </c>
      <c r="G88" s="3">
        <f>'РЕБ 2, мај 19'!K1018</f>
        <v>0</v>
      </c>
      <c r="H88" s="3">
        <f>'РЕБ 2, мај 19'!L1018</f>
        <v>500000</v>
      </c>
    </row>
    <row r="89" spans="1:12" ht="60" customHeight="1" x14ac:dyDescent="0.2">
      <c r="A89" s="11"/>
      <c r="B89" s="15"/>
      <c r="C89" s="6" t="str">
        <f>'РЕБ 2, мај 19'!I1022</f>
        <v>ПРОЈЕКАТ  - Израда пројектне документације атмосферске канализације у улици Занатлијска трећи део у Инђији</v>
      </c>
      <c r="D89" s="6"/>
      <c r="E89" s="6"/>
      <c r="F89" s="3">
        <f>'РЕБ 2, мај 19'!J1023</f>
        <v>600000</v>
      </c>
      <c r="G89" s="3">
        <f>'РЕБ 2, мај 19'!K1023</f>
        <v>0</v>
      </c>
      <c r="H89" s="3">
        <f>'РЕБ 2, мај 19'!L1023</f>
        <v>600000</v>
      </c>
    </row>
    <row r="90" spans="1:12" ht="60" customHeight="1" x14ac:dyDescent="0.2">
      <c r="A90" s="11"/>
      <c r="B90" s="15"/>
      <c r="C90" s="6" t="str">
        <f>'РЕБ 2, мај 19'!I1027</f>
        <v>ПРОЈЕКАТ -Израда пројектне документације атмосферске канализације у улици Михаила Пупина  у Инђији</v>
      </c>
      <c r="D90" s="6"/>
      <c r="E90" s="6"/>
      <c r="F90" s="3">
        <f>'РЕБ 2, мај 19'!J1028</f>
        <v>600000</v>
      </c>
      <c r="G90" s="3">
        <f>'РЕБ 2, мај 19'!K1028</f>
        <v>0</v>
      </c>
      <c r="H90" s="3">
        <f>'РЕБ 2, мај 19'!L1028</f>
        <v>600000</v>
      </c>
    </row>
    <row r="91" spans="1:12" ht="69" customHeight="1" x14ac:dyDescent="0.2">
      <c r="A91" s="11"/>
      <c r="B91" s="15"/>
      <c r="C91" s="6" t="str">
        <f>'РЕБ 2, мај 19'!I986</f>
        <v>ПРОЈЕКАТ  - АКТИВНОСТ УКЛАЊАЊА ДИВЉИХ ДЕПОНИЈА С ПОЉОПРИВРЕДНОГ ЗЕМЉИШТА</v>
      </c>
      <c r="D91" s="6"/>
      <c r="E91" s="6"/>
      <c r="F91" s="3">
        <f>'РЕБ 2, мај 19'!J988</f>
        <v>1891283.8</v>
      </c>
      <c r="G91" s="3">
        <f>'РЕБ 2, мај 19'!K988</f>
        <v>0</v>
      </c>
      <c r="H91" s="3">
        <f>'РЕБ 2, мај 19'!L988</f>
        <v>1891283.8</v>
      </c>
    </row>
    <row r="92" spans="1:12" ht="67.5" customHeight="1" x14ac:dyDescent="0.2">
      <c r="A92" s="11"/>
      <c r="B92" s="15"/>
      <c r="C92" s="6" t="str">
        <f>'РЕБ 2, мај 19'!I1032</f>
        <v>ПРОЈЕКАТ  -  Израда претходне студије оправданости за пречишћавање отпадних вода у индустријској зони у Инђији</v>
      </c>
      <c r="D92" s="6"/>
      <c r="E92" s="6"/>
      <c r="F92" s="3">
        <f>'РЕБ 2, мај 19'!J1033</f>
        <v>3000000</v>
      </c>
      <c r="G92" s="3">
        <f>'РЕБ 2, мај 19'!K1033</f>
        <v>0</v>
      </c>
      <c r="H92" s="3">
        <f>'РЕБ 2, мај 19'!L1033</f>
        <v>3000000</v>
      </c>
    </row>
    <row r="93" spans="1:12" ht="45" x14ac:dyDescent="0.2">
      <c r="A93" s="34" t="s">
        <v>251</v>
      </c>
      <c r="B93" s="34"/>
      <c r="C93" s="35" t="s">
        <v>496</v>
      </c>
      <c r="D93" s="35" t="s">
        <v>497</v>
      </c>
      <c r="E93" s="35" t="s">
        <v>498</v>
      </c>
      <c r="F93" s="36">
        <f>SUM(F94:F173)</f>
        <v>1750015236.01</v>
      </c>
      <c r="G93" s="36">
        <f>SUM(G94:G173)</f>
        <v>0</v>
      </c>
      <c r="H93" s="36">
        <f>SUM(F93:G93)</f>
        <v>1750015236.01</v>
      </c>
      <c r="L93" s="87"/>
    </row>
    <row r="94" spans="1:12" ht="33.75" x14ac:dyDescent="0.2">
      <c r="A94" s="11"/>
      <c r="B94" s="7" t="s">
        <v>252</v>
      </c>
      <c r="C94" s="2" t="str">
        <f>'РЕБ 2, мај 19'!I1073</f>
        <v>Управљање и одржавање саобраћајне инфраструктуре</v>
      </c>
      <c r="D94" s="2" t="s">
        <v>499</v>
      </c>
      <c r="E94" s="2" t="s">
        <v>500</v>
      </c>
      <c r="F94" s="3">
        <f>'РЕБ 2, мај 19'!J1078+'РЕБ 2, мај 19'!J1488+'РЕБ 2, мај 19'!J1508</f>
        <v>227642984</v>
      </c>
      <c r="G94" s="3">
        <f>'РЕБ 2, мај 19'!K1078+'РЕБ 2, мај 19'!K1488+'РЕБ 2, мај 19'!K1508</f>
        <v>0</v>
      </c>
      <c r="H94" s="3">
        <f>'РЕБ 2, мај 19'!L1078+'РЕБ 2, мај 19'!L1488+'РЕБ 2, мај 19'!L1508</f>
        <v>227642984</v>
      </c>
    </row>
    <row r="95" spans="1:12" ht="22.5" x14ac:dyDescent="0.2">
      <c r="A95" s="7"/>
      <c r="B95" s="7" t="s">
        <v>501</v>
      </c>
      <c r="C95" s="6" t="s">
        <v>502</v>
      </c>
      <c r="D95" s="2" t="s">
        <v>503</v>
      </c>
      <c r="E95" s="2" t="s">
        <v>504</v>
      </c>
      <c r="F95" s="4">
        <f>'РЕБ 2, мај 19'!J1497</f>
        <v>144000000</v>
      </c>
      <c r="G95" s="4">
        <f>'РЕБ 2, мај 19'!K1497</f>
        <v>0</v>
      </c>
      <c r="H95" s="4">
        <f>'РЕБ 2, мај 19'!L1497</f>
        <v>144000000</v>
      </c>
    </row>
    <row r="96" spans="1:12" ht="36.75" customHeight="1" x14ac:dyDescent="0.2">
      <c r="A96" s="7"/>
      <c r="B96" s="7"/>
      <c r="C96" s="6" t="str">
        <f>'РЕБ 2, мај 19'!I1039</f>
        <v>ПРОЈЕКАТ - Набавка булдожера за потребе ЈП Ингрин</v>
      </c>
      <c r="D96" s="2"/>
      <c r="E96" s="2"/>
      <c r="F96" s="4">
        <f>'РЕБ 2, мај 19'!J1041</f>
        <v>6000000</v>
      </c>
      <c r="G96" s="4">
        <f>'РЕБ 2, мај 19'!K1041</f>
        <v>0</v>
      </c>
      <c r="H96" s="4">
        <f>'РЕБ 2, мај 19'!L1041</f>
        <v>6000000</v>
      </c>
    </row>
    <row r="97" spans="1:8" ht="36.75" customHeight="1" x14ac:dyDescent="0.2">
      <c r="A97" s="7"/>
      <c r="B97" s="7"/>
      <c r="C97" s="6" t="str">
        <f>'РЕБ 2, мај 19'!I1045</f>
        <v>ПРОЈЕКАТ - Набавка ватрогасног возила</v>
      </c>
      <c r="D97" s="2"/>
      <c r="E97" s="2"/>
      <c r="F97" s="4">
        <f>'РЕБ 2, мај 19'!J1047</f>
        <v>18000000</v>
      </c>
      <c r="G97" s="4">
        <f>'РЕБ 2, мај 19'!K1047</f>
        <v>0</v>
      </c>
      <c r="H97" s="4">
        <f>'РЕБ 2, мај 19'!L1047</f>
        <v>18000000</v>
      </c>
    </row>
    <row r="98" spans="1:8" ht="31.5" customHeight="1" x14ac:dyDescent="0.2">
      <c r="A98" s="7"/>
      <c r="B98" s="7"/>
      <c r="C98" s="14" t="str">
        <f>'РЕБ 2, мај 19'!I1051</f>
        <v>ПРОЈЕКАТ - ВИДЕО НАДЗОР НА РАСКРСНИЦИ</v>
      </c>
      <c r="D98" s="2"/>
      <c r="E98" s="2"/>
      <c r="F98" s="4">
        <f>'РЕБ 2, мај 19'!J1053</f>
        <v>3500000</v>
      </c>
      <c r="G98" s="4">
        <f>'РЕБ 2, мај 19'!K1053</f>
        <v>0</v>
      </c>
      <c r="H98" s="4">
        <f>'РЕБ 2, мај 19'!L1053</f>
        <v>3500000</v>
      </c>
    </row>
    <row r="99" spans="1:8" ht="37.5" customHeight="1" x14ac:dyDescent="0.2">
      <c r="A99" s="7"/>
      <c r="B99" s="7"/>
      <c r="C99" s="14" t="str">
        <f>'РЕБ 2, мај 19'!I1057</f>
        <v>ПРОЈЕКАТ - ВИДЕО НАДЗОР У ОБРАЗОВНИМ УСТАНОВАМА</v>
      </c>
      <c r="D99" s="2"/>
      <c r="E99" s="2"/>
      <c r="F99" s="4">
        <f>'РЕБ 2, мај 19'!J1059</f>
        <v>4700000</v>
      </c>
      <c r="G99" s="4">
        <f>'РЕБ 2, мај 19'!K1059</f>
        <v>0</v>
      </c>
      <c r="H99" s="4">
        <f>'РЕБ 2, мај 19'!L1059</f>
        <v>4700000</v>
      </c>
    </row>
    <row r="100" spans="1:8" ht="51.75" customHeight="1" x14ac:dyDescent="0.2">
      <c r="A100" s="7"/>
      <c r="B100" s="7"/>
      <c r="C100" s="843" t="str">
        <f>'РЕБ 2, мај 19'!I1063</f>
        <v>ПРОЈЕКАТ - ВИДЕО НАДЗОР ОД ЈАВНОГ ИНТЕРЕСА ЗА ОПШТИНУ ИНЂИЈА</v>
      </c>
      <c r="D100" s="2"/>
      <c r="E100" s="2"/>
      <c r="F100" s="4">
        <f>'РЕБ 2, мај 19'!J1066</f>
        <v>6120000</v>
      </c>
      <c r="G100" s="4">
        <f>'РЕБ 2, мај 19'!K1066</f>
        <v>0</v>
      </c>
      <c r="H100" s="4">
        <f>'РЕБ 2, мај 19'!L1066</f>
        <v>6120000</v>
      </c>
    </row>
    <row r="101" spans="1:8" ht="55.5" customHeight="1" x14ac:dyDescent="0.2">
      <c r="A101" s="7"/>
      <c r="B101" s="7"/>
      <c r="C101" s="95" t="str">
        <f>'РЕБ 2, мај 19'!I1082</f>
        <v>ПРОЈЕКАТ - Израда пројектне документације и реконструкција  Трга Слободе у центру Инђије (фонтана)</v>
      </c>
      <c r="D101" s="2"/>
      <c r="E101" s="2"/>
      <c r="F101" s="4">
        <f>'РЕБ 2, мај 19'!J1086</f>
        <v>79920000</v>
      </c>
      <c r="G101" s="4">
        <f>'РЕБ 2, мај 19'!K1086</f>
        <v>0</v>
      </c>
      <c r="H101" s="4">
        <f>'РЕБ 2, мај 19'!L1086</f>
        <v>79920000</v>
      </c>
    </row>
    <row r="102" spans="1:8" ht="48" customHeight="1" x14ac:dyDescent="0.2">
      <c r="A102" s="7"/>
      <c r="B102" s="7"/>
      <c r="C102" s="6" t="str">
        <f>'РЕБ 2, мај 19'!I1088</f>
        <v>ПРОЈЕКАТ - Израда пројектне документације и изградња пешачке стазе до Лесног профила</v>
      </c>
      <c r="D102" s="2"/>
      <c r="E102" s="2"/>
      <c r="F102" s="4">
        <f>'РЕБ 2, мај 19'!J1092</f>
        <v>2820000</v>
      </c>
      <c r="G102" s="4">
        <f>'РЕБ 2, мај 19'!K1092</f>
        <v>0</v>
      </c>
      <c r="H102" s="4">
        <f>'РЕБ 2, мај 19'!L1092</f>
        <v>2820000</v>
      </c>
    </row>
    <row r="103" spans="1:8" ht="70.5" customHeight="1" x14ac:dyDescent="0.2">
      <c r="A103" s="7"/>
      <c r="B103" s="7"/>
      <c r="C103" s="6" t="str">
        <f>'РЕБ 2, мај 19'!I1094</f>
        <v>ПРОЈЕКАТ  - Израда пројектне документације и изградња упарених аутобуских стајалишта у Инђији, у улици Цара Душана</v>
      </c>
      <c r="D103" s="2"/>
      <c r="E103" s="2"/>
      <c r="F103" s="4">
        <f>'РЕБ 2, мај 19'!J1097</f>
        <v>3591606.84</v>
      </c>
      <c r="G103" s="4">
        <f>'РЕБ 2, мај 19'!K1097</f>
        <v>0</v>
      </c>
      <c r="H103" s="4">
        <f>'РЕБ 2, мај 19'!L1097</f>
        <v>3591606.84</v>
      </c>
    </row>
    <row r="104" spans="1:8" ht="51" customHeight="1" x14ac:dyDescent="0.2">
      <c r="A104" s="7"/>
      <c r="B104" s="7"/>
      <c r="C104" s="101" t="str">
        <f>'РЕБ 2, мај 19'!I1099</f>
        <v>ПРОЈЕКАТ - Израда и монтажа надстрешница за аутобуска стајалишта на територији општине Инђија</v>
      </c>
      <c r="D104" s="2"/>
      <c r="E104" s="2"/>
      <c r="F104" s="4">
        <f>'РЕБ 2, мај 19'!J1102</f>
        <v>10200000</v>
      </c>
      <c r="G104" s="4">
        <f>'РЕБ 2, мај 19'!K1102</f>
        <v>0</v>
      </c>
      <c r="H104" s="4">
        <f>'РЕБ 2, мај 19'!L1102</f>
        <v>10200000</v>
      </c>
    </row>
    <row r="105" spans="1:8" ht="84" customHeight="1" x14ac:dyDescent="0.2">
      <c r="A105" s="7"/>
      <c r="B105" s="7"/>
      <c r="C105" s="101" t="str">
        <f>'РЕБ 2, мај 19'!I1104</f>
        <v>ПРОЈЕКАТ  -  Израда пројектне документације и изградња бициклистичких и пешачких стаза дуж државног пута IIА-126 у Инђији - од Гумапласта до Оутлета</v>
      </c>
      <c r="D105" s="2"/>
      <c r="E105" s="2"/>
      <c r="F105" s="4">
        <f>'РЕБ 2, мај 19'!J1107</f>
        <v>1000</v>
      </c>
      <c r="G105" s="4">
        <f>'РЕБ 2, мај 19'!K1107</f>
        <v>0</v>
      </c>
      <c r="H105" s="4">
        <f>'РЕБ 2, мај 19'!L1107</f>
        <v>1000</v>
      </c>
    </row>
    <row r="106" spans="1:8" ht="76.5" customHeight="1" x14ac:dyDescent="0.2">
      <c r="A106" s="7"/>
      <c r="B106" s="7"/>
      <c r="C106" s="6" t="str">
        <f>'РЕБ 2, мај 19'!I1109</f>
        <v>ПРОЈЕКАТ  -  Извођење радова  државног пута II реда -126 - лево скретање за Гумапласт</v>
      </c>
      <c r="D106" s="2"/>
      <c r="E106" s="2"/>
      <c r="F106" s="4">
        <f>'РЕБ 2, мај 19'!J1112</f>
        <v>4380000</v>
      </c>
      <c r="G106" s="4">
        <f>'РЕБ 2, мај 19'!K1112</f>
        <v>0</v>
      </c>
      <c r="H106" s="4">
        <f>'РЕБ 2, мај 19'!L1112</f>
        <v>4380000</v>
      </c>
    </row>
    <row r="107" spans="1:8" ht="48.75" customHeight="1" x14ac:dyDescent="0.2">
      <c r="A107" s="7"/>
      <c r="B107" s="7"/>
      <c r="C107" s="6" t="str">
        <f>'РЕБ 2, мај 19'!I1114</f>
        <v>ПРОЈЕКАТ  - Реконструкција пута Л18 Нови Сланкамен - Сурдук</v>
      </c>
      <c r="D107" s="2"/>
      <c r="E107" s="2"/>
      <c r="F107" s="4">
        <f>'РЕБ 2, мај 19'!J1118</f>
        <v>5000000</v>
      </c>
      <c r="G107" s="4">
        <f>'РЕБ 2, мај 19'!K1118</f>
        <v>0</v>
      </c>
      <c r="H107" s="4">
        <f>'РЕБ 2, мај 19'!L1118</f>
        <v>5000000</v>
      </c>
    </row>
    <row r="108" spans="1:8" ht="58.5" customHeight="1" x14ac:dyDescent="0.2">
      <c r="A108" s="7"/>
      <c r="B108" s="7"/>
      <c r="C108" s="6" t="str">
        <f>'РЕБ 2, мај 19'!I1120</f>
        <v>ПРОЈЕКАТ  - Израда Плана техничке регулације саобраћаја за насељена места општине Инђија</v>
      </c>
      <c r="D108" s="2"/>
      <c r="E108" s="2"/>
      <c r="F108" s="4">
        <f>'РЕБ 2, мај 19'!J1123</f>
        <v>4000000</v>
      </c>
      <c r="G108" s="4">
        <f>'РЕБ 2, мај 19'!K1123</f>
        <v>0</v>
      </c>
      <c r="H108" s="4">
        <f>'РЕБ 2, мај 19'!L1123</f>
        <v>4000000</v>
      </c>
    </row>
    <row r="109" spans="1:8" ht="60" customHeight="1" x14ac:dyDescent="0.2">
      <c r="A109" s="7"/>
      <c r="B109" s="7"/>
      <c r="C109" s="6" t="str">
        <f>'РЕБ 2, мај 19'!I1125</f>
        <v>ПРОЈЕКАТ  - Израда Плана превентивних мера о повременим и привременим градилиштима</v>
      </c>
      <c r="D109" s="2"/>
      <c r="E109" s="2"/>
      <c r="F109" s="4">
        <f>'РЕБ 2, мај 19'!J1128</f>
        <v>600000</v>
      </c>
      <c r="G109" s="4">
        <f>'РЕБ 2, мај 19'!K1128</f>
        <v>0</v>
      </c>
      <c r="H109" s="4">
        <f>'РЕБ 2, мај 19'!L1128</f>
        <v>600000</v>
      </c>
    </row>
    <row r="110" spans="1:8" ht="85.5" customHeight="1" x14ac:dyDescent="0.2">
      <c r="A110" s="7"/>
      <c r="B110" s="7"/>
      <c r="C110" s="6" t="str">
        <f>'РЕБ 2, мај 19'!I1130</f>
        <v>ПРОЈЕКАТ - Израда пројектне документације упарених аутобуских стајалишта са нишама, у коридору државног пута  у улици Цара Душана у Марадику</v>
      </c>
      <c r="D110" s="2"/>
      <c r="E110" s="2"/>
      <c r="F110" s="4">
        <f>'РЕБ 2, мај 19'!J1133</f>
        <v>500000</v>
      </c>
      <c r="G110" s="4">
        <f>'РЕБ 2, мај 19'!K1133</f>
        <v>0</v>
      </c>
      <c r="H110" s="4">
        <f>'РЕБ 2, мај 19'!L1133</f>
        <v>500000</v>
      </c>
    </row>
    <row r="111" spans="1:8" ht="62.25" customHeight="1" x14ac:dyDescent="0.2">
      <c r="A111" s="7"/>
      <c r="B111" s="7"/>
      <c r="C111" s="6" t="str">
        <f>'РЕБ 2, мај 19'!I1135</f>
        <v>ПРОЈЕКАТ - Израда пројектне документације за изградњу кружног тока у центру Бешке</v>
      </c>
      <c r="D111" s="2"/>
      <c r="E111" s="2"/>
      <c r="F111" s="4">
        <f>'РЕБ 2, мај 19'!J1138</f>
        <v>500000</v>
      </c>
      <c r="G111" s="4">
        <f>'РЕБ 2, мај 19'!K1138</f>
        <v>0</v>
      </c>
      <c r="H111" s="4">
        <f>'РЕБ 2, мај 19'!L1138</f>
        <v>500000</v>
      </c>
    </row>
    <row r="112" spans="1:8" ht="85.5" customHeight="1" x14ac:dyDescent="0.2">
      <c r="A112" s="7"/>
      <c r="B112" s="7"/>
      <c r="C112" s="6" t="str">
        <f>'РЕБ 2, мај 19'!I1140</f>
        <v>ПРОЈЕКАТ - Израда пројектне документације за изградњу кружног тока у Новом Сланкамену - раскрсница улица Цара Душана, Фрушкогорска и Дунавска</v>
      </c>
      <c r="D112" s="2"/>
      <c r="E112" s="2"/>
      <c r="F112" s="4">
        <f>'РЕБ 2, мај 19'!J1143</f>
        <v>600000</v>
      </c>
      <c r="G112" s="4">
        <f>'РЕБ 2, мај 19'!K1143</f>
        <v>0</v>
      </c>
      <c r="H112" s="4">
        <f>'РЕБ 2, мај 19'!L1143</f>
        <v>600000</v>
      </c>
    </row>
    <row r="113" spans="1:8" ht="48.75" customHeight="1" x14ac:dyDescent="0.2">
      <c r="A113" s="7"/>
      <c r="B113" s="7"/>
      <c r="C113" s="102" t="str">
        <f>'РЕБ 2, мај 19'!I1145</f>
        <v>ПРОЈЕКАТ - Рехабилитација улице Краља Петра првог у  Бешки</v>
      </c>
      <c r="D113" s="2"/>
      <c r="E113" s="2"/>
      <c r="F113" s="4">
        <f>'РЕБ 2, мај 19'!J1150</f>
        <v>56838924.399999999</v>
      </c>
      <c r="G113" s="4">
        <f>'РЕБ 2, мај 19'!K1150</f>
        <v>0</v>
      </c>
      <c r="H113" s="4">
        <f>'РЕБ 2, мај 19'!L1150</f>
        <v>56838924.399999999</v>
      </c>
    </row>
    <row r="114" spans="1:8" ht="48.75" customHeight="1" x14ac:dyDescent="0.2">
      <c r="A114" s="7"/>
      <c r="B114" s="7"/>
      <c r="C114" s="97" t="str">
        <f>'РЕБ 2, мај 19'!I1152</f>
        <v>ПРОЈЕКАТ - Израда техничке документације саобраћајница у индустријској зони Бешка</v>
      </c>
      <c r="D114" s="2"/>
      <c r="E114" s="2"/>
      <c r="F114" s="4">
        <f>'РЕБ 2, мај 19'!J1155</f>
        <v>360000</v>
      </c>
      <c r="G114" s="4">
        <f>'РЕБ 2, мај 19'!K1155</f>
        <v>0</v>
      </c>
      <c r="H114" s="4">
        <f>'РЕБ 2, мај 19'!L1155</f>
        <v>360000</v>
      </c>
    </row>
    <row r="115" spans="1:8" ht="48.75" customHeight="1" x14ac:dyDescent="0.2">
      <c r="A115" s="7"/>
      <c r="B115" s="7"/>
      <c r="C115" s="97" t="str">
        <f>'РЕБ 2, мај 19'!I1157</f>
        <v>ПРОЈЕКАТ  - Израда пројектне документације и уређење ужег дела центра насеља  Крчедин</v>
      </c>
      <c r="D115" s="2"/>
      <c r="E115" s="2"/>
      <c r="F115" s="4">
        <f>'РЕБ 2, мај 19'!J1161</f>
        <v>16150000</v>
      </c>
      <c r="G115" s="4">
        <f>'РЕБ 2, мај 19'!K1161</f>
        <v>0</v>
      </c>
      <c r="H115" s="4">
        <f>'РЕБ 2, мај 19'!L1161</f>
        <v>16150000</v>
      </c>
    </row>
    <row r="116" spans="1:8" ht="61.5" customHeight="1" x14ac:dyDescent="0.2">
      <c r="A116" s="7"/>
      <c r="B116" s="7"/>
      <c r="C116" s="97" t="str">
        <f>'РЕБ 2, мај 19'!I1163</f>
        <v>ПРОЈЕКАТ  - Израда пројектне документације, изградња и реконструкција тротоара у насељу  Нови Карловци</v>
      </c>
      <c r="D116" s="2"/>
      <c r="E116" s="2"/>
      <c r="F116" s="4">
        <f>'РЕБ 2, мај 19'!J1167</f>
        <v>20940000</v>
      </c>
      <c r="G116" s="4">
        <f>'РЕБ 2, мај 19'!K1167</f>
        <v>0</v>
      </c>
      <c r="H116" s="4">
        <f>'РЕБ 2, мај 19'!L1167</f>
        <v>20940000</v>
      </c>
    </row>
    <row r="117" spans="1:8" ht="80.25" customHeight="1" x14ac:dyDescent="0.2">
      <c r="A117" s="7"/>
      <c r="B117" s="7"/>
      <c r="C117" s="6" t="str">
        <f>'РЕБ 2, мај 19'!I1169</f>
        <v>ПРОЈЕКАТ  - Израда пројектне документације за  реконструкцију раскрснице улица Лукачева (ДП другог реда), Главне и Челенске у насељу  Нови Карловци</v>
      </c>
      <c r="D117" s="2"/>
      <c r="E117" s="2"/>
      <c r="F117" s="4">
        <f>'РЕБ 2, мај 19'!J1172</f>
        <v>4200000</v>
      </c>
      <c r="G117" s="4">
        <f>'РЕБ 2, мај 19'!K1172</f>
        <v>0</v>
      </c>
      <c r="H117" s="4">
        <f>'РЕБ 2, мај 19'!L1172</f>
        <v>4200000</v>
      </c>
    </row>
    <row r="118" spans="1:8" ht="75.75" customHeight="1" x14ac:dyDescent="0.2">
      <c r="A118" s="7"/>
      <c r="B118" s="7"/>
      <c r="C118" s="101" t="str">
        <f>'РЕБ 2, мај 19'!I1174</f>
        <v>ПРОЈЕКАТ  - Израда пројектне документације и  реконструкција пута од Виле "Станковић" у Чортановцима до Дунава</v>
      </c>
      <c r="D118" s="2"/>
      <c r="E118" s="2"/>
      <c r="F118" s="4">
        <f>'РЕБ 2, мај 19'!J1178</f>
        <v>15500000</v>
      </c>
      <c r="G118" s="4">
        <f>'РЕБ 2, мај 19'!K1178</f>
        <v>0</v>
      </c>
      <c r="H118" s="4">
        <f>'РЕБ 2, мај 19'!L1178</f>
        <v>15500000</v>
      </c>
    </row>
    <row r="119" spans="1:8" ht="138.75" customHeight="1" x14ac:dyDescent="0.2">
      <c r="A119" s="7"/>
      <c r="B119" s="7"/>
      <c r="C119" s="101" t="str">
        <f>'РЕБ 2, мај 19'!I1180</f>
        <v>ПРОЈЕКАТ - Реконструкцију слободног профила у постојећој регулацији дела улице Цара Душана  у насељу Нови Сланкамен,  деоница раскрснице са улицом Вука  Караџића до раскрснице са улицом Светосавском</v>
      </c>
      <c r="D119" s="2"/>
      <c r="E119" s="2"/>
      <c r="F119" s="4">
        <f>'РЕБ 2, мај 19'!J1184</f>
        <v>31557364.879999999</v>
      </c>
      <c r="G119" s="4">
        <f>'РЕБ 2, мај 19'!K1184</f>
        <v>0</v>
      </c>
      <c r="H119" s="4">
        <f>'РЕБ 2, мај 19'!L1184</f>
        <v>31557364.879999999</v>
      </c>
    </row>
    <row r="120" spans="1:8" ht="90" customHeight="1" x14ac:dyDescent="0.2">
      <c r="A120" s="7"/>
      <c r="B120" s="7"/>
      <c r="C120" s="6" t="str">
        <f>'РЕБ 2, мај 19'!I1186</f>
        <v>ПРОЈЕКАТ - Израда пројектне документације и изградња пешачке стазе у улици Цара Душана у Новом Сланкамену - лева страна из правца Инђије</v>
      </c>
      <c r="D120" s="2"/>
      <c r="E120" s="2"/>
      <c r="F120" s="4">
        <f>'РЕБ 2, мај 19'!J1189</f>
        <v>2060000</v>
      </c>
      <c r="G120" s="4">
        <f>'РЕБ 2, мај 19'!K1189</f>
        <v>0</v>
      </c>
      <c r="H120" s="4">
        <f>'РЕБ 2, мај 19'!L1189</f>
        <v>2060000</v>
      </c>
    </row>
    <row r="121" spans="1:8" ht="65.25" customHeight="1" x14ac:dyDescent="0.2">
      <c r="A121" s="7"/>
      <c r="B121" s="7"/>
      <c r="C121" s="101" t="str">
        <f>'РЕБ 2, мај 19'!I1192</f>
        <v>ПРОЈЕКАТ - Израда пројектне документације и изградња аутобуских стајалишта у улици Цара Душана у Крчедину</v>
      </c>
      <c r="D121" s="2"/>
      <c r="E121" s="2"/>
      <c r="F121" s="4">
        <f>'РЕБ 2, мај 19'!J1195</f>
        <v>3480000</v>
      </c>
      <c r="G121" s="4">
        <f>'РЕБ 2, мај 19'!K1195</f>
        <v>0</v>
      </c>
      <c r="H121" s="4">
        <f>'РЕБ 2, мај 19'!L1195</f>
        <v>3480000</v>
      </c>
    </row>
    <row r="122" spans="1:8" ht="57" customHeight="1" x14ac:dyDescent="0.2">
      <c r="A122" s="7"/>
      <c r="B122" s="7"/>
      <c r="C122" s="6" t="str">
        <f>'РЕБ 2, мај 19'!I1197</f>
        <v>ПРОЈЕКАТ  - Израда пројектне документације проширења коловоза у улици Соње Маринковић у Инђији</v>
      </c>
      <c r="D122" s="2"/>
      <c r="E122" s="2"/>
      <c r="F122" s="4">
        <f>'РЕБ 2, мај 19'!J1200</f>
        <v>600000</v>
      </c>
      <c r="G122" s="4">
        <f>'РЕБ 2, мај 19'!K1200</f>
        <v>0</v>
      </c>
      <c r="H122" s="4">
        <f>'РЕБ 2, мај 19'!L1200</f>
        <v>600000</v>
      </c>
    </row>
    <row r="123" spans="1:8" ht="55.5" customHeight="1" x14ac:dyDescent="0.2">
      <c r="A123" s="7"/>
      <c r="B123" s="7"/>
      <c r="C123" s="6" t="str">
        <f>'РЕБ 2, мај 19'!I1202</f>
        <v>ПРОЈЕКАТ - Израда пројектне документације проширења коловоза у улици Фрушкогорска у Новом Сланкамену</v>
      </c>
      <c r="D123" s="2"/>
      <c r="E123" s="2"/>
      <c r="F123" s="4">
        <f>'РЕБ 2, мај 19'!J1205</f>
        <v>1000000</v>
      </c>
      <c r="G123" s="4">
        <f>'РЕБ 2, мај 19'!K1205</f>
        <v>0</v>
      </c>
      <c r="H123" s="4">
        <f>'РЕБ 2, мај 19'!L1205</f>
        <v>1000000</v>
      </c>
    </row>
    <row r="124" spans="1:8" ht="59.25" customHeight="1" x14ac:dyDescent="0.2">
      <c r="A124" s="7"/>
      <c r="B124" s="7"/>
      <c r="C124" s="16" t="str">
        <f>'РЕБ 2, мај 19'!I1207</f>
        <v>ПРОЈЕКАТ - Израда пројектне документације марине у Старом Сланкамену</v>
      </c>
      <c r="D124" s="2"/>
      <c r="E124" s="2"/>
      <c r="F124" s="4">
        <f>'РЕБ 2, мај 19'!J1210</f>
        <v>500000</v>
      </c>
      <c r="G124" s="4">
        <f>'РЕБ 2, мај 19'!K1210</f>
        <v>0</v>
      </c>
      <c r="H124" s="4">
        <f>'РЕБ 2, мај 19'!L1210</f>
        <v>500000</v>
      </c>
    </row>
    <row r="125" spans="1:8" ht="80.25" customHeight="1" x14ac:dyDescent="0.2">
      <c r="A125" s="7"/>
      <c r="B125" s="7"/>
      <c r="C125" s="6" t="str">
        <f>'РЕБ 2, мај 19'!I1212</f>
        <v>ПРОЈЕКАТ - Израда пројектне документације за изградњу пешачких семафора на државном путу II А  - 100 кроз насељено место Инђија</v>
      </c>
      <c r="D125" s="2"/>
      <c r="E125" s="2"/>
      <c r="F125" s="4">
        <f>'РЕБ 2, мај 19'!J1215</f>
        <v>500000</v>
      </c>
      <c r="G125" s="4">
        <f>'РЕБ 2, мај 19'!K1215</f>
        <v>0</v>
      </c>
      <c r="H125" s="4">
        <f>'РЕБ 2, мај 19'!L1215</f>
        <v>500000</v>
      </c>
    </row>
    <row r="126" spans="1:8" ht="50.25" customHeight="1" x14ac:dyDescent="0.2">
      <c r="A126" s="7"/>
      <c r="B126" s="7"/>
      <c r="C126" s="6" t="str">
        <f>'РЕБ 2, мај 19'!I1217</f>
        <v>ПРОЈЕКАТ - Израда пројеката техничке  регулације саобраћаја за време извођења радова</v>
      </c>
      <c r="D126" s="2"/>
      <c r="E126" s="2"/>
      <c r="F126" s="4">
        <f>'РЕБ 2, мај 19'!J1220</f>
        <v>500000</v>
      </c>
      <c r="G126" s="4">
        <f>'РЕБ 2, мај 19'!K1220</f>
        <v>0</v>
      </c>
      <c r="H126" s="4">
        <f>'РЕБ 2, мај 19'!L1220</f>
        <v>500000</v>
      </c>
    </row>
    <row r="127" spans="1:8" ht="96.75" customHeight="1" x14ac:dyDescent="0.2">
      <c r="A127" s="7"/>
      <c r="B127" s="7"/>
      <c r="C127" s="6" t="str">
        <f>'РЕБ 2, мај 19'!I1222</f>
        <v>ПРОЈЕКАТ  - Израда пројектне документације за изградњу пешачко бициклистичке стазе од Инђије до Јарковаца дуж пута Л-22 са јавном расветом</v>
      </c>
      <c r="D127" s="2"/>
      <c r="E127" s="2"/>
      <c r="F127" s="4">
        <f>'РЕБ 2, мај 19'!J1225</f>
        <v>1000000</v>
      </c>
      <c r="G127" s="4">
        <f>'РЕБ 2, мај 19'!K1225</f>
        <v>0</v>
      </c>
      <c r="H127" s="4">
        <f>'РЕБ 2, мај 19'!L1225</f>
        <v>1000000</v>
      </c>
    </row>
    <row r="128" spans="1:8" ht="51.75" customHeight="1" x14ac:dyDescent="0.2">
      <c r="A128" s="7"/>
      <c r="B128" s="7"/>
      <c r="C128" s="6" t="str">
        <f>'РЕБ 2, мај 19'!I1227</f>
        <v>ПРОЈЕКАТ  - Набавка опреме за посебна паркиралишта</v>
      </c>
      <c r="D128" s="2"/>
      <c r="E128" s="2"/>
      <c r="F128" s="4">
        <f>'РЕБ 2, мај 19'!J1230</f>
        <v>500000</v>
      </c>
      <c r="G128" s="4">
        <f>'РЕБ 2, мај 19'!K1230</f>
        <v>0</v>
      </c>
      <c r="H128" s="4">
        <f>'РЕБ 2, мај 19'!L1230</f>
        <v>500000</v>
      </c>
    </row>
    <row r="129" spans="1:8" ht="81.75" customHeight="1" x14ac:dyDescent="0.2">
      <c r="A129" s="7"/>
      <c r="B129" s="7"/>
      <c r="C129" s="6" t="str">
        <f>'РЕБ 2, мај 19'!I1232</f>
        <v>ПРОЈЕКАТ- Стручни надзор над изградњом сервисне саобраћајнице у североисточној радној зони деоница од "Монуса" до "Гумапласта"</v>
      </c>
      <c r="D129" s="2"/>
      <c r="E129" s="2"/>
      <c r="F129" s="4">
        <f>'РЕБ 2, мај 19'!J1235</f>
        <v>100000</v>
      </c>
      <c r="G129" s="4">
        <f>'РЕБ 2, мај 19'!K1235</f>
        <v>0</v>
      </c>
      <c r="H129" s="4">
        <f>'РЕБ 2, мај 19'!L1235</f>
        <v>100000</v>
      </c>
    </row>
    <row r="130" spans="1:8" ht="69.75" customHeight="1" x14ac:dyDescent="0.2">
      <c r="A130" s="7"/>
      <c r="B130" s="7"/>
      <c r="C130" s="6" t="str">
        <f>'РЕБ 2, мај 19'!I1237</f>
        <v>ПРОЈЕКАТ - Израда пројектне документације и изградња пешачке стазе у целој дужини у улици Н. Тесле у Љукову</v>
      </c>
      <c r="D130" s="2"/>
      <c r="E130" s="2"/>
      <c r="F130" s="4">
        <f>'РЕБ 2, мај 19'!J1240</f>
        <v>7603000</v>
      </c>
      <c r="G130" s="4">
        <f>'РЕБ 2, мај 19'!K1240</f>
        <v>0</v>
      </c>
      <c r="H130" s="4">
        <f>'РЕБ 2, мај 19'!L1240</f>
        <v>7603000</v>
      </c>
    </row>
    <row r="131" spans="1:8" ht="69.75" customHeight="1" x14ac:dyDescent="0.2">
      <c r="A131" s="7"/>
      <c r="B131" s="7"/>
      <c r="C131" s="6" t="str">
        <f>'РЕБ 2, мај 19'!I1242</f>
        <v>ПРОЈЕКАТ  - Израда пројектне документације и изградња пешачке стазе  у улици 1. Новембра до Н. Тесле у Љукову</v>
      </c>
      <c r="D131" s="2"/>
      <c r="E131" s="2"/>
      <c r="F131" s="4">
        <f>'РЕБ 2, мај 19'!J1245</f>
        <v>1000</v>
      </c>
      <c r="G131" s="4">
        <f>'РЕБ 2, мај 19'!K1245</f>
        <v>0</v>
      </c>
      <c r="H131" s="4">
        <f>'РЕБ 2, мај 19'!L1245</f>
        <v>1000</v>
      </c>
    </row>
    <row r="132" spans="1:8" ht="51" customHeight="1" x14ac:dyDescent="0.2">
      <c r="A132" s="7"/>
      <c r="B132" s="7"/>
      <c r="C132" s="6" t="str">
        <f>'РЕБ 2, мај 19'!I1247</f>
        <v>ПРОЈЕКАТ  - Рехабилитација коловоза улице 1. Новембра у  Љукову</v>
      </c>
      <c r="D132" s="2"/>
      <c r="E132" s="2"/>
      <c r="F132" s="4">
        <f>'РЕБ 2, мај 19'!J1252</f>
        <v>55201000</v>
      </c>
      <c r="G132" s="4">
        <f>'РЕБ 2, мај 19'!K1252</f>
        <v>0</v>
      </c>
      <c r="H132" s="4">
        <f>'РЕБ 2, мај 19'!L1252</f>
        <v>55201000</v>
      </c>
    </row>
    <row r="133" spans="1:8" ht="58.5" customHeight="1" x14ac:dyDescent="0.2">
      <c r="A133" s="7"/>
      <c r="B133" s="7"/>
      <c r="C133" s="6" t="str">
        <f>'РЕБ 2, мај 19'!I1254</f>
        <v>ПРОЈЕКАТ - Израда пројектне документације за изградњу паркинга у улици Краља Петра</v>
      </c>
      <c r="D133" s="2"/>
      <c r="E133" s="2"/>
      <c r="F133" s="4">
        <f>'РЕБ 2, мај 19'!J1257</f>
        <v>500000</v>
      </c>
      <c r="G133" s="4">
        <f>'РЕБ 2, мај 19'!K1257</f>
        <v>0</v>
      </c>
      <c r="H133" s="4">
        <f>'РЕБ 2, мај 19'!L1257</f>
        <v>500000</v>
      </c>
    </row>
    <row r="134" spans="1:8" ht="60.75" customHeight="1" x14ac:dyDescent="0.2">
      <c r="A134" s="7"/>
      <c r="B134" s="7"/>
      <c r="C134" s="97" t="str">
        <f>'РЕБ 2, мај 19'!I1259</f>
        <v>ПРОЈЕКАТ  - Изградња паркинга у улици Краља Петра</v>
      </c>
      <c r="D134" s="2"/>
      <c r="E134" s="2"/>
      <c r="F134" s="4">
        <f>'РЕБ 2, мај 19'!J1262</f>
        <v>1050000</v>
      </c>
      <c r="G134" s="4">
        <f>'РЕБ 2, мај 19'!K1262</f>
        <v>0</v>
      </c>
      <c r="H134" s="4">
        <f>'РЕБ 2, мај 19'!L1262</f>
        <v>1050000</v>
      </c>
    </row>
    <row r="135" spans="1:8" ht="48.75" customHeight="1" x14ac:dyDescent="0.2">
      <c r="A135" s="7"/>
      <c r="B135" s="7"/>
      <c r="C135" s="97" t="str">
        <f>'РЕБ 2, мај 19'!I1264</f>
        <v>ПРОЈЕКАТ - Израда пројектне документације за изградњу паркинга у Блоку 44 у Инђији - Ламела</v>
      </c>
      <c r="D135" s="2"/>
      <c r="E135" s="2"/>
      <c r="F135" s="4">
        <f>'РЕБ 2, мај 19'!J1265</f>
        <v>600000</v>
      </c>
      <c r="G135" s="4">
        <f>'РЕБ 2, мај 19'!K1265</f>
        <v>0</v>
      </c>
      <c r="H135" s="4">
        <f>'РЕБ 2, мај 19'!L1265</f>
        <v>600000</v>
      </c>
    </row>
    <row r="136" spans="1:8" ht="39" customHeight="1" x14ac:dyDescent="0.2">
      <c r="A136" s="7"/>
      <c r="B136" s="7"/>
      <c r="C136" s="6" t="str">
        <f>'РЕБ 2, мај 19'!I1269</f>
        <v>ПРОЈЕКАТ  - Изградња паркинга у Блоку 44 у Инђији - Ламела</v>
      </c>
      <c r="D136" s="2"/>
      <c r="E136" s="2"/>
      <c r="F136" s="4">
        <f>'РЕБ 2, мај 19'!J1272</f>
        <v>5000000</v>
      </c>
      <c r="G136" s="4">
        <f>'РЕБ 2, мај 19'!K1272</f>
        <v>0</v>
      </c>
      <c r="H136" s="4">
        <f>'РЕБ 2, мај 19'!L1272</f>
        <v>5000000</v>
      </c>
    </row>
    <row r="137" spans="1:8" ht="87.75" customHeight="1" x14ac:dyDescent="0.2">
      <c r="A137" s="7"/>
      <c r="B137" s="7"/>
      <c r="C137" s="6" t="str">
        <f>'РЕБ 2, мај 19'!I1274</f>
        <v>ПРОЈЕКАТ  - Израда техничке документације и извођење радова на изградњи саобраћајнице са пратећом инфраструктуром и јавном расветом у Улици Нова 2 Инђија - прва фаза</v>
      </c>
      <c r="D137" s="2"/>
      <c r="E137" s="2"/>
      <c r="F137" s="4">
        <f>'РЕБ 2, мај 19'!J1278</f>
        <v>5700000</v>
      </c>
      <c r="G137" s="4">
        <f>'РЕБ 2, мај 19'!K1278</f>
        <v>0</v>
      </c>
      <c r="H137" s="4">
        <f>'РЕБ 2, мај 19'!L1278</f>
        <v>5700000</v>
      </c>
    </row>
    <row r="138" spans="1:8" ht="37.5" customHeight="1" x14ac:dyDescent="0.2">
      <c r="A138" s="7"/>
      <c r="B138" s="7"/>
      <c r="C138" s="6" t="str">
        <f>'РЕБ 2, мај 19'!I1280</f>
        <v>ПРОЈЕКАТ  - Изградња саобраћајнице у Улици Нова 3 -  Блок 44 у Инђији</v>
      </c>
      <c r="D138" s="2"/>
      <c r="E138" s="2"/>
      <c r="F138" s="4">
        <f>'РЕБ 2, мај 19'!J1283</f>
        <v>4000000</v>
      </c>
      <c r="G138" s="4">
        <f>'РЕБ 2, мај 19'!K1283</f>
        <v>0</v>
      </c>
      <c r="H138" s="4">
        <f>'РЕБ 2, мај 19'!L1283</f>
        <v>4000000</v>
      </c>
    </row>
    <row r="139" spans="1:8" ht="67.5" customHeight="1" x14ac:dyDescent="0.2">
      <c r="A139" s="7"/>
      <c r="B139" s="7"/>
      <c r="C139" s="6" t="str">
        <f>'РЕБ 2, мај 19'!I1285</f>
        <v>ПРОЈЕКАТ  - Изградња саобраћајног прикључка  Улице Нове 3 на државни пут другог реда бр. 100 у Инђији</v>
      </c>
      <c r="D139" s="2"/>
      <c r="E139" s="2"/>
      <c r="F139" s="4">
        <f>'РЕБ 2, мај 19'!J1288</f>
        <v>804000</v>
      </c>
      <c r="G139" s="4">
        <f>'РЕБ 2, мај 19'!K1288</f>
        <v>0</v>
      </c>
      <c r="H139" s="4">
        <f>'РЕБ 2, мај 19'!L1288</f>
        <v>804000</v>
      </c>
    </row>
    <row r="140" spans="1:8" ht="89.25" customHeight="1" x14ac:dyDescent="0.2">
      <c r="A140" s="7"/>
      <c r="B140" s="7"/>
      <c r="C140" s="6" t="str">
        <f>'РЕБ 2, мај 19'!I1290</f>
        <v>ПРОЈЕКАТ  - Појачано одржавање коловоза ДП другог реда рег. пут број Р-109 од км 10+662,15 до км 10+861,64 са кружном раскрсницом у Инђији (Обилићев венац)</v>
      </c>
      <c r="D140" s="2"/>
      <c r="E140" s="2"/>
      <c r="F140" s="4">
        <f>'РЕБ 2, мај 19'!J1295</f>
        <v>36100000</v>
      </c>
      <c r="G140" s="4">
        <f>'РЕБ 2, мај 19'!K1295</f>
        <v>0</v>
      </c>
      <c r="H140" s="4">
        <f>'РЕБ 2, мај 19'!L1295</f>
        <v>36100000</v>
      </c>
    </row>
    <row r="141" spans="1:8" ht="58.5" customHeight="1" x14ac:dyDescent="0.2">
      <c r="A141" s="7"/>
      <c r="B141" s="7"/>
      <c r="C141" s="97" t="str">
        <f>'РЕБ 2, мај 19'!I1297</f>
        <v>ПРОЈЕКАТ- Израда пројектне документације и изградња пешачке стазе од градског базена до "Бразде" у Инђији</v>
      </c>
      <c r="D141" s="2"/>
      <c r="E141" s="2"/>
      <c r="F141" s="4">
        <f>'РЕБ 2, мај 19'!J1301</f>
        <v>6908095.1999999993</v>
      </c>
      <c r="G141" s="4">
        <f>'РЕБ 2, мај 19'!K1301</f>
        <v>0</v>
      </c>
      <c r="H141" s="4">
        <f>'РЕБ 2, мај 19'!L1301</f>
        <v>6908095.1999999993</v>
      </c>
    </row>
    <row r="142" spans="1:8" ht="72.75" customHeight="1" x14ac:dyDescent="0.2">
      <c r="A142" s="7"/>
      <c r="B142" s="7"/>
      <c r="C142" s="6" t="str">
        <f>'РЕБ 2, мај 19'!I1303</f>
        <v>ПРОЈЕКАТ - Санација, поправка и извођење радова на пешачким стазама - тротоарима по насељеним местима општине Инђија</v>
      </c>
      <c r="D142" s="2"/>
      <c r="E142" s="2"/>
      <c r="F142" s="4">
        <f>'РЕБ 2, мај 19'!J1307</f>
        <v>35700000</v>
      </c>
      <c r="G142" s="4">
        <f>'РЕБ 2, мај 19'!K1307</f>
        <v>0</v>
      </c>
      <c r="H142" s="4">
        <f>'РЕБ 2, мај 19'!L1307</f>
        <v>35700000</v>
      </c>
    </row>
    <row r="143" spans="1:8" ht="83.25" customHeight="1" x14ac:dyDescent="0.2">
      <c r="A143" s="7"/>
      <c r="B143" s="7"/>
      <c r="C143" s="6" t="str">
        <f>'РЕБ 2, мај 19'!I1309</f>
        <v>ПРОЈЕКАТ - Асфалтирање улица по насељеним местима општине Инђија</v>
      </c>
      <c r="D143" s="2"/>
      <c r="E143" s="2"/>
      <c r="F143" s="4">
        <f>'РЕБ 2, мај 19'!J1314</f>
        <v>551750301.10000002</v>
      </c>
      <c r="G143" s="4">
        <f>'РЕБ 2, мај 19'!K1314</f>
        <v>0</v>
      </c>
      <c r="H143" s="4">
        <f>'РЕБ 2, мај 19'!L1314</f>
        <v>551750301.10000002</v>
      </c>
    </row>
    <row r="144" spans="1:8" ht="78.75" customHeight="1" x14ac:dyDescent="0.2">
      <c r="A144" s="7"/>
      <c r="B144" s="7"/>
      <c r="C144" s="6" t="str">
        <f>'РЕБ 2, мај 19'!I1316</f>
        <v>ПРОЈЕКАТ - Појачано одржавање (рехабилитација) Голубиначке улице у  Инђији</v>
      </c>
      <c r="D144" s="2"/>
      <c r="E144" s="2"/>
      <c r="F144" s="4">
        <f>'РЕБ 2, мај 19'!J1320</f>
        <v>31585465.420000002</v>
      </c>
      <c r="G144" s="4">
        <f>'РЕБ 2, мај 19'!K1320</f>
        <v>0</v>
      </c>
      <c r="H144" s="4">
        <f>'РЕБ 2, мај 19'!L1320</f>
        <v>31585465.420000002</v>
      </c>
    </row>
    <row r="145" spans="1:8" ht="60" customHeight="1" x14ac:dyDescent="0.2">
      <c r="A145" s="7"/>
      <c r="B145" s="7"/>
      <c r="C145" s="6" t="str">
        <f>'РЕБ 2, мај 19'!I1328</f>
        <v>ПРОЈЕКАТ - Изградња пута Нови Карловци -Крчедин</v>
      </c>
      <c r="D145" s="2"/>
      <c r="E145" s="2"/>
      <c r="F145" s="4">
        <f>'РЕБ 2, мај 19'!J1332</f>
        <v>1001000</v>
      </c>
      <c r="G145" s="4">
        <f>'РЕБ 2, мај 19'!K1332</f>
        <v>0</v>
      </c>
      <c r="H145" s="4">
        <f>'РЕБ 2, мај 19'!L1332</f>
        <v>1001000</v>
      </c>
    </row>
    <row r="146" spans="1:8" ht="60" customHeight="1" x14ac:dyDescent="0.2">
      <c r="A146" s="7"/>
      <c r="B146" s="7"/>
      <c r="C146" s="6" t="str">
        <f>'РЕБ 2, мај 19'!I1322</f>
        <v>ПРОЈЕКАТ - Уређење путева у викенд насељима цементном стабилизацијом</v>
      </c>
      <c r="D146" s="2"/>
      <c r="E146" s="2"/>
      <c r="F146" s="4">
        <f>'РЕБ 2, мај 19'!J1326</f>
        <v>40200000</v>
      </c>
      <c r="G146" s="4">
        <f>'РЕБ 2, мај 19'!K1326</f>
        <v>0</v>
      </c>
      <c r="H146" s="4">
        <f>'РЕБ 2, мај 19'!L1326</f>
        <v>40200000</v>
      </c>
    </row>
    <row r="147" spans="1:8" ht="70.5" customHeight="1" x14ac:dyDescent="0.2">
      <c r="A147" s="7"/>
      <c r="B147" s="7"/>
      <c r="C147" s="6" t="str">
        <f>'РЕБ 2, мај 19'!I1334</f>
        <v>ПРОЈЕКАТ  - Теренска и лабораторијска испитивања код изградње и асфалтирања путева</v>
      </c>
      <c r="D147" s="2"/>
      <c r="E147" s="2"/>
      <c r="F147" s="4">
        <f>'РЕБ 2, мај 19'!J1337</f>
        <v>6000000</v>
      </c>
      <c r="G147" s="4">
        <f>'РЕБ 2, мај 19'!K1337</f>
        <v>0</v>
      </c>
      <c r="H147" s="4">
        <f>'РЕБ 2, мај 19'!L1337</f>
        <v>6000000</v>
      </c>
    </row>
    <row r="148" spans="1:8" ht="47.25" customHeight="1" x14ac:dyDescent="0.2">
      <c r="A148" s="7"/>
      <c r="B148" s="7"/>
      <c r="C148" s="6" t="str">
        <f>'РЕБ 2, мај 19'!I1339</f>
        <v>ПРОЈЕКАТ  - Набавка вибро плоча са алатом</v>
      </c>
      <c r="D148" s="2"/>
      <c r="E148" s="2"/>
      <c r="F148" s="4">
        <f>'РЕБ 2, мај 19'!J1342</f>
        <v>500000</v>
      </c>
      <c r="G148" s="4">
        <f>'РЕБ 2, мај 19'!K1342</f>
        <v>0</v>
      </c>
      <c r="H148" s="4">
        <f>'РЕБ 2, мај 19'!L1342</f>
        <v>500000</v>
      </c>
    </row>
    <row r="149" spans="1:8" ht="56.25" customHeight="1" x14ac:dyDescent="0.2">
      <c r="A149" s="7"/>
      <c r="B149" s="7"/>
      <c r="C149" s="101" t="str">
        <f>'РЕБ 2, мај 19'!I1344</f>
        <v>ПРОЈЕКАТ - Реконструкција пута на деоници Банстол - Хотел Норцев</v>
      </c>
      <c r="D149" s="2"/>
      <c r="E149" s="2"/>
      <c r="F149" s="4">
        <f>'РЕБ 2, мај 19'!J1348</f>
        <v>154830135.34</v>
      </c>
      <c r="G149" s="4">
        <f>'РЕБ 2, мај 19'!K1348</f>
        <v>0</v>
      </c>
      <c r="H149" s="4">
        <f>'РЕБ 2, мај 19'!L1348</f>
        <v>154830135.34</v>
      </c>
    </row>
    <row r="150" spans="1:8" ht="56.25" customHeight="1" x14ac:dyDescent="0.2">
      <c r="A150" s="7"/>
      <c r="B150" s="7"/>
      <c r="C150" s="101" t="str">
        <f>'РЕБ 2, мај 19'!I1350</f>
        <v xml:space="preserve">ПРОЈЕКАТ  -  Изградња саобраћајнице С2 и фекалне канализације дуж саобраћајнице С3 </v>
      </c>
      <c r="D150" s="2"/>
      <c r="E150" s="2"/>
      <c r="F150" s="4">
        <f>'РЕБ 2, мај 19'!J1355</f>
        <v>56907774.719999999</v>
      </c>
      <c r="G150" s="4">
        <f>'РЕБ 2, мај 19'!K1355</f>
        <v>0</v>
      </c>
      <c r="H150" s="4">
        <f>'РЕБ 2, мај 19'!L1355</f>
        <v>56907774.719999999</v>
      </c>
    </row>
    <row r="151" spans="1:8" ht="78.75" customHeight="1" x14ac:dyDescent="0.2">
      <c r="A151" s="7"/>
      <c r="B151" s="7"/>
      <c r="C151" s="101" t="str">
        <f>'РЕБ 2, мај 19'!I1357</f>
        <v>ПРОЈЕКАТ -  Стручни надзор над изградњом саобраћајнице С2  и фекалне канализације дуж саобраћајнице С3</v>
      </c>
      <c r="D151" s="2"/>
      <c r="E151" s="2"/>
      <c r="F151" s="4">
        <f>'РЕБ 2, мај 19'!J1360</f>
        <v>1800000</v>
      </c>
      <c r="G151" s="4">
        <f>'РЕБ 2, мај 19'!K1360</f>
        <v>0</v>
      </c>
      <c r="H151" s="4">
        <f>'РЕБ 2, мај 19'!L1360</f>
        <v>1800000</v>
      </c>
    </row>
    <row r="152" spans="1:8" ht="80.25" customHeight="1" x14ac:dyDescent="0.2">
      <c r="A152" s="7"/>
      <c r="B152" s="7"/>
      <c r="C152" s="6" t="str">
        <f>'РЕБ 2, мај 19'!I1362</f>
        <v>ПРОЈЕКАТ - Изградња саобраћајнице С1 и С2 (II фаза) у радној зони бр. 15 у Инђији са хидротехничком инфраструктуром - Пројекат водоводне мреже  (II фаза - С2)</v>
      </c>
      <c r="D152" s="2"/>
      <c r="E152" s="2"/>
      <c r="F152" s="4">
        <f>'РЕБ 2, мај 19'!J1367</f>
        <v>3906584.11</v>
      </c>
      <c r="G152" s="4">
        <f>'РЕБ 2, мај 19'!K1367</f>
        <v>0</v>
      </c>
      <c r="H152" s="4">
        <f>'РЕБ 2, мај 19'!L1367</f>
        <v>3906584.11</v>
      </c>
    </row>
    <row r="153" spans="1:8" ht="115.5" customHeight="1" x14ac:dyDescent="0.2">
      <c r="A153" s="7"/>
      <c r="B153" s="7"/>
      <c r="C153" s="6" t="str">
        <f>'РЕБ 2, мај 19'!I1369</f>
        <v>ПРОЈЕКАТ 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v>
      </c>
      <c r="D153" s="2"/>
      <c r="E153" s="2"/>
      <c r="F153" s="4">
        <f>'РЕБ 2, мај 19'!J1373</f>
        <v>4484000</v>
      </c>
      <c r="G153" s="4">
        <f>'РЕБ 2, мај 19'!K1373</f>
        <v>0</v>
      </c>
      <c r="H153" s="4">
        <f>'РЕБ 2, мај 19'!L1373</f>
        <v>4484000</v>
      </c>
    </row>
    <row r="154" spans="1:8" ht="69" customHeight="1" x14ac:dyDescent="0.2">
      <c r="A154" s="7"/>
      <c r="B154" s="7"/>
      <c r="C154" s="6" t="str">
        <f>'РЕБ 2, мај 19'!I1375</f>
        <v>ПРОЈЕКАТ - Израда техничке документације за изградњу пешачке стазе од улице Каменова до Монуса са леве стране до А 126</v>
      </c>
      <c r="D154" s="2"/>
      <c r="E154" s="2"/>
      <c r="F154" s="4">
        <f>'РЕБ 2, мај 19'!J1378</f>
        <v>600000</v>
      </c>
      <c r="G154" s="4">
        <f>'РЕБ 2, мај 19'!K1378</f>
        <v>0</v>
      </c>
      <c r="H154" s="4">
        <f>'РЕБ 2, мај 19'!L1378</f>
        <v>600000</v>
      </c>
    </row>
    <row r="155" spans="1:8" ht="75.75" customHeight="1" x14ac:dyDescent="0.2">
      <c r="A155" s="7"/>
      <c r="B155" s="7"/>
      <c r="C155" s="6" t="str">
        <f>'РЕБ 2, мај 19'!I1380</f>
        <v xml:space="preserve">ПРОЈЕКАТ - Израда пројектне документације за изградњу пешачких семафора на државном путу II А-100 кроз насељено место Инђија </v>
      </c>
      <c r="D155" s="2"/>
      <c r="E155" s="2"/>
      <c r="F155" s="4">
        <f>'РЕБ 2, мај 19'!J1381</f>
        <v>500000</v>
      </c>
      <c r="G155" s="4">
        <f>'РЕБ 2, мај 19'!K1381</f>
        <v>0</v>
      </c>
      <c r="H155" s="4">
        <f>'РЕБ 2, мај 19'!L1381</f>
        <v>500000</v>
      </c>
    </row>
    <row r="156" spans="1:8" ht="79.5" customHeight="1" x14ac:dyDescent="0.2">
      <c r="A156" s="7"/>
      <c r="B156" s="7"/>
      <c r="C156" s="6" t="str">
        <f>'РЕБ 2, мај 19'!I1385</f>
        <v>ПРОЈЕКАТ - Израда пројектне документације за реконструкцију раскрснице улица Лукачева (ДП другог реда), Главне и Челенске у насељу Нови Карловци</v>
      </c>
      <c r="D156" s="2"/>
      <c r="E156" s="2"/>
      <c r="F156" s="4">
        <f>'РЕБ 2, мај 19'!J1386</f>
        <v>600000</v>
      </c>
      <c r="G156" s="4">
        <f>'РЕБ 2, мај 19'!K1386</f>
        <v>0</v>
      </c>
      <c r="H156" s="4">
        <f>'РЕБ 2, мај 19'!L1386</f>
        <v>600000</v>
      </c>
    </row>
    <row r="157" spans="1:8" ht="152.25" customHeight="1" x14ac:dyDescent="0.2">
      <c r="A157" s="7"/>
      <c r="B157" s="7"/>
      <c r="C157" s="6" t="str">
        <f>'РЕБ 2, мај 19'!I1390</f>
        <v>ПРОЈЕКАТ - Израда техничке документације и извођење радова на изградњи двоструког кабловског вода у индустијској зони на Локацији 15 од МБТС Индофуд до планиране МБТС 2х630 КVA у дужини 2х1,1 км у зони раскрснице саобраћајница С1 и С3 и изградњу планиране трафо станице</v>
      </c>
      <c r="D157" s="2"/>
      <c r="E157" s="2"/>
      <c r="F157" s="4">
        <f>'РЕБ 2, мај 19'!J1395</f>
        <v>16200000</v>
      </c>
      <c r="G157" s="4">
        <f>'РЕБ 2, мај 19'!K1395</f>
        <v>0</v>
      </c>
      <c r="H157" s="4">
        <f>'РЕБ 2, мај 19'!L1395</f>
        <v>16200000</v>
      </c>
    </row>
    <row r="158" spans="1:8" ht="121.5" customHeight="1" x14ac:dyDescent="0.2">
      <c r="A158" s="7"/>
      <c r="B158" s="7"/>
      <c r="C158" s="6" t="str">
        <f>'РЕБ 2, мај 19'!I1397</f>
        <v>ПРОЈЕКАТ - Израда техничке документације и извођење радова на изградњи кабловског вода 20KV са постојећег "20KV Бешка - Крчедин" далековода у дужини од цца. 500 м као и изградњу МБТС 20/0,4 KV у радној зони Бешка Локација 3</v>
      </c>
      <c r="D158" s="2"/>
      <c r="E158" s="2"/>
      <c r="F158" s="4">
        <f>'РЕБ 2, мај 19'!J1402</f>
        <v>300000</v>
      </c>
      <c r="G158" s="4">
        <f>'РЕБ 2, мај 19'!K1402</f>
        <v>0</v>
      </c>
      <c r="H158" s="4">
        <f>'РЕБ 2, мај 19'!L1402</f>
        <v>300000</v>
      </c>
    </row>
    <row r="159" spans="1:8" ht="47.25" customHeight="1" x14ac:dyDescent="0.2">
      <c r="A159" s="7"/>
      <c r="B159" s="7"/>
      <c r="C159" s="6" t="str">
        <f>'РЕБ 2, мај 19'!I1404</f>
        <v>ПРОЈЕКАТ -  Реконструкција /замена постојеће СТС "Крчевина"</v>
      </c>
      <c r="D159" s="2"/>
      <c r="E159" s="2"/>
      <c r="F159" s="4">
        <f>'РЕБ 2, мај 19'!J1407</f>
        <v>2000000</v>
      </c>
      <c r="G159" s="4">
        <f>'РЕБ 2, мај 19'!K1407</f>
        <v>0</v>
      </c>
      <c r="H159" s="4">
        <f>'РЕБ 2, мај 19'!L1407</f>
        <v>2000000</v>
      </c>
    </row>
    <row r="160" spans="1:8" ht="52.5" customHeight="1" x14ac:dyDescent="0.2">
      <c r="A160" s="7"/>
      <c r="B160" s="7"/>
      <c r="C160" s="6" t="str">
        <f>'РЕБ 2, мај 19'!I1409</f>
        <v>ПРОЈЕКАТ -  Измештање постојеће КТЦ "Дом културе у центру Бешка"</v>
      </c>
      <c r="D160" s="2"/>
      <c r="E160" s="2"/>
      <c r="F160" s="4">
        <f>'РЕБ 2, мај 19'!J1413</f>
        <v>100000</v>
      </c>
      <c r="G160" s="4">
        <f>'РЕБ 2, мај 19'!K1413</f>
        <v>0</v>
      </c>
      <c r="H160" s="4">
        <f>'РЕБ 2, мај 19'!L1413</f>
        <v>100000</v>
      </c>
    </row>
    <row r="161" spans="1:12" ht="45.75" customHeight="1" x14ac:dyDescent="0.2">
      <c r="A161" s="7"/>
      <c r="B161" s="7"/>
      <c r="C161" s="6" t="str">
        <f>'РЕБ 2, мај 19'!I1415</f>
        <v xml:space="preserve">ПРОЈЕКАТ-  Реконструкција СТС Дунавска у Бешки </v>
      </c>
      <c r="D161" s="2"/>
      <c r="E161" s="2"/>
      <c r="F161" s="4">
        <f>'РЕБ 2, мај 19'!J1418</f>
        <v>4000000</v>
      </c>
      <c r="G161" s="4">
        <f>'РЕБ 2, мај 19'!K1418</f>
        <v>0</v>
      </c>
      <c r="H161" s="4">
        <f>'РЕБ 2, мај 19'!L1418</f>
        <v>4000000</v>
      </c>
    </row>
    <row r="162" spans="1:12" ht="37.5" customHeight="1" x14ac:dyDescent="0.2">
      <c r="A162" s="7"/>
      <c r="B162" s="7"/>
      <c r="C162" s="6" t="str">
        <f>'РЕБ 2, мај 19'!I1420</f>
        <v xml:space="preserve">ПРОЈЕКАТ - Изградња СТС Каменова  у Инђији </v>
      </c>
      <c r="D162" s="2"/>
      <c r="E162" s="2"/>
      <c r="F162" s="4">
        <f>'РЕБ 2, мај 19'!J1424</f>
        <v>1800000</v>
      </c>
      <c r="G162" s="4">
        <f>'РЕБ 2, мај 19'!K1424</f>
        <v>0</v>
      </c>
      <c r="H162" s="4">
        <f>'РЕБ 2, мај 19'!L1424</f>
        <v>1800000</v>
      </c>
    </row>
    <row r="163" spans="1:12" ht="51.75" customHeight="1" x14ac:dyDescent="0.2">
      <c r="A163" s="7"/>
      <c r="B163" s="7"/>
      <c r="C163" s="6" t="str">
        <f>'РЕБ 2, мај 19'!I1426</f>
        <v>ПРОЈЕКАТ - Изградња прикључног вода 20КV Каменова улица 500 м у Инђији</v>
      </c>
      <c r="D163" s="2"/>
      <c r="E163" s="2"/>
      <c r="F163" s="4">
        <f>'РЕБ 2, мај 19'!J1430</f>
        <v>900000</v>
      </c>
      <c r="G163" s="4">
        <f>'РЕБ 2, мај 19'!K1430</f>
        <v>0</v>
      </c>
      <c r="H163" s="4">
        <f>'РЕБ 2, мај 19'!L1430</f>
        <v>900000</v>
      </c>
    </row>
    <row r="164" spans="1:12" ht="51.75" customHeight="1" x14ac:dyDescent="0.2">
      <c r="A164" s="7"/>
      <c r="B164" s="7"/>
      <c r="C164" s="6" t="str">
        <f>'РЕБ 2, мај 19'!I1432</f>
        <v>ПРОЈЕКАТ -  Изградња НН мреже Каменова улица у Инђији</v>
      </c>
      <c r="D164" s="2"/>
      <c r="E164" s="2"/>
      <c r="F164" s="4">
        <f>'РЕБ 2, мај 19'!J1436</f>
        <v>1500000</v>
      </c>
      <c r="G164" s="4">
        <f>'РЕБ 2, мај 19'!K1436</f>
        <v>0</v>
      </c>
      <c r="H164" s="4">
        <f>'РЕБ 2, мај 19'!L1436</f>
        <v>1500000</v>
      </c>
    </row>
    <row r="165" spans="1:12" ht="51.75" customHeight="1" x14ac:dyDescent="0.2">
      <c r="A165" s="7"/>
      <c r="B165" s="7"/>
      <c r="C165" s="6" t="str">
        <f>'РЕБ 2, мај 19'!I1438</f>
        <v>ПРОЈЕКАТ -  Изградња СТС Новосадска у Инђији</v>
      </c>
      <c r="D165" s="2"/>
      <c r="E165" s="2"/>
      <c r="F165" s="4">
        <f>'РЕБ 2, мај 19'!J1442</f>
        <v>1800000</v>
      </c>
      <c r="G165" s="4">
        <f>'РЕБ 2, мај 19'!K1442</f>
        <v>0</v>
      </c>
      <c r="H165" s="4">
        <f>'РЕБ 2, мај 19'!L1442</f>
        <v>1800000</v>
      </c>
    </row>
    <row r="166" spans="1:12" ht="51.75" customHeight="1" x14ac:dyDescent="0.2">
      <c r="A166" s="7"/>
      <c r="B166" s="7"/>
      <c r="C166" s="6" t="str">
        <f>'РЕБ 2, мај 19'!I1444</f>
        <v>ПРОЈЕКАТ - Изградња прикључног вода 20KV Новосадска 100 м у Инђији</v>
      </c>
      <c r="D166" s="2"/>
      <c r="E166" s="2"/>
      <c r="F166" s="4">
        <f>'РЕБ 2, мај 19'!J1448</f>
        <v>180000</v>
      </c>
      <c r="G166" s="4">
        <f>'РЕБ 2, мај 19'!K1448</f>
        <v>0</v>
      </c>
      <c r="H166" s="4">
        <f>'РЕБ 2, мај 19'!L1448</f>
        <v>180000</v>
      </c>
    </row>
    <row r="167" spans="1:12" ht="51.75" customHeight="1" x14ac:dyDescent="0.2">
      <c r="A167" s="7"/>
      <c r="B167" s="7"/>
      <c r="C167" s="6" t="str">
        <f>'РЕБ 2, мај 19'!I1450</f>
        <v>ПРОЈЕКАТ - Изградња НН мреже Новосадска улица у Инђији</v>
      </c>
      <c r="D167" s="2"/>
      <c r="E167" s="2"/>
      <c r="F167" s="4">
        <f>'РЕБ 2, мај 19'!J1436</f>
        <v>1500000</v>
      </c>
      <c r="G167" s="4">
        <f>'РЕБ 2, мај 19'!K1436</f>
        <v>0</v>
      </c>
      <c r="H167" s="4">
        <f>'РЕБ 2, мај 19'!L1436</f>
        <v>1500000</v>
      </c>
    </row>
    <row r="168" spans="1:12" ht="75.75" customHeight="1" x14ac:dyDescent="0.2">
      <c r="A168" s="7"/>
      <c r="B168" s="7"/>
      <c r="C168" s="6" t="str">
        <f>'РЕБ 2, мај 19'!I1456</f>
        <v>ПРОЈЕКАТ - Израда техничке документације и извођење радова на изградњи јавног осветљења на месном стадиону у Крчедину</v>
      </c>
      <c r="D168" s="2"/>
      <c r="E168" s="2"/>
      <c r="F168" s="4">
        <f>'РЕБ 2, мај 19'!J1460</f>
        <v>4040000</v>
      </c>
      <c r="G168" s="4">
        <f>'РЕБ 2, мај 19'!K1460</f>
        <v>0</v>
      </c>
      <c r="H168" s="4">
        <f>'РЕБ 2, мај 19'!L1460</f>
        <v>4040000</v>
      </c>
    </row>
    <row r="169" spans="1:12" ht="73.5" customHeight="1" x14ac:dyDescent="0.2">
      <c r="A169" s="7"/>
      <c r="B169" s="7"/>
      <c r="C169" s="831" t="str">
        <f>'РЕБ 2, мај 19'!I1462</f>
        <v>ПРОЈЕКАТ - Израда техничке документације и извођење радова на изградњи продужетака јавне расвете у улици Сремска кратка у Инђији</v>
      </c>
      <c r="D169" s="2"/>
      <c r="E169" s="2"/>
      <c r="F169" s="4">
        <f>'РЕБ 2, мај 19'!J1465</f>
        <v>1700000</v>
      </c>
      <c r="G169" s="4">
        <f>'РЕБ 2, мај 19'!K1465</f>
        <v>0</v>
      </c>
      <c r="H169" s="4">
        <f>'РЕБ 2, мај 19'!L1465</f>
        <v>1700000</v>
      </c>
    </row>
    <row r="170" spans="1:12" ht="63.75" customHeight="1" x14ac:dyDescent="0.2">
      <c r="A170" s="7"/>
      <c r="B170" s="7"/>
      <c r="C170" s="6" t="str">
        <f>'РЕБ 2, мај 19'!I1467</f>
        <v>ПРОЈЕКАТ - Израда пројектне документације за изградњу јавне расвете у радној зони Бешка локација 3</v>
      </c>
      <c r="D170" s="2"/>
      <c r="E170" s="2"/>
      <c r="F170" s="4">
        <f>'РЕБ 2, мај 19'!J1470</f>
        <v>500000</v>
      </c>
      <c r="G170" s="4">
        <f>'РЕБ 2, мај 19'!K1470</f>
        <v>0</v>
      </c>
      <c r="H170" s="4">
        <f>'РЕБ 2, мај 19'!L1470</f>
        <v>500000</v>
      </c>
    </row>
    <row r="171" spans="1:12" ht="65.25" customHeight="1" x14ac:dyDescent="0.2">
      <c r="A171" s="7"/>
      <c r="B171" s="7"/>
      <c r="C171" s="6" t="str">
        <f>'РЕБ 2, мај 19'!I1472</f>
        <v>ПРОЈЕКАТ Учешће у изградњи средњенапонског далековода од Новог Сланкамена до Сурдука</v>
      </c>
      <c r="D171" s="2"/>
      <c r="E171" s="2"/>
      <c r="F171" s="4">
        <f>'РЕБ 2, мај 19'!J1475</f>
        <v>1000</v>
      </c>
      <c r="G171" s="4">
        <f>'РЕБ 2, мај 19'!K1475</f>
        <v>0</v>
      </c>
      <c r="H171" s="4">
        <f>'РЕБ 2, мај 19'!L1475</f>
        <v>1000</v>
      </c>
    </row>
    <row r="172" spans="1:12" ht="57.75" customHeight="1" x14ac:dyDescent="0.2">
      <c r="A172" s="7"/>
      <c r="B172" s="7"/>
      <c r="C172" s="6" t="str">
        <f>'РЕБ 2, мај 19'!I1477</f>
        <v>ПРОЈЕКАТ - Пројектовање и изградња јавне расвете на локацији Чарнок у Старом Сланкамену</v>
      </c>
      <c r="D172" s="2"/>
      <c r="E172" s="2"/>
      <c r="F172" s="4">
        <f>'РЕБ 2, мај 19'!J1480</f>
        <v>2500000</v>
      </c>
      <c r="G172" s="4">
        <f>'РЕБ 2, мај 19'!K1480</f>
        <v>0</v>
      </c>
      <c r="H172" s="4">
        <f>'РЕБ 2, мај 19'!L1480</f>
        <v>2500000</v>
      </c>
    </row>
    <row r="173" spans="1:12" ht="76.5" customHeight="1" x14ac:dyDescent="0.2">
      <c r="A173" s="7"/>
      <c r="B173" s="7"/>
      <c r="C173" s="6" t="str">
        <f>'РЕБ 2, мај 19'!I1511</f>
        <v>ПРОЈЕКАТ  - ЈАВНИ РЕД И БЕЗБЕДНОСТ</v>
      </c>
      <c r="D173" s="2"/>
      <c r="E173" s="2"/>
      <c r="F173" s="4">
        <f>'РЕБ 2, мај 19'!J1519</f>
        <v>19300000</v>
      </c>
      <c r="G173" s="4">
        <f>'РЕБ 2, мај 19'!K1519</f>
        <v>0</v>
      </c>
      <c r="H173" s="4">
        <f>'РЕБ 2, мај 19'!L1519</f>
        <v>19300000</v>
      </c>
    </row>
    <row r="174" spans="1:12" ht="33.75" x14ac:dyDescent="0.2">
      <c r="A174" s="34" t="s">
        <v>380</v>
      </c>
      <c r="B174" s="34"/>
      <c r="C174" s="35" t="s">
        <v>403</v>
      </c>
      <c r="D174" s="35" t="s">
        <v>505</v>
      </c>
      <c r="E174" s="35" t="s">
        <v>506</v>
      </c>
      <c r="F174" s="36">
        <f>SUM(F175:F180)</f>
        <v>430523100</v>
      </c>
      <c r="G174" s="36">
        <f t="shared" ref="G174:H174" si="5">SUM(G175:G180)</f>
        <v>10500000</v>
      </c>
      <c r="H174" s="36">
        <f t="shared" si="5"/>
        <v>441023100</v>
      </c>
      <c r="L174" s="87"/>
    </row>
    <row r="175" spans="1:12" ht="45" x14ac:dyDescent="0.2">
      <c r="A175" s="11"/>
      <c r="B175" s="7" t="s">
        <v>229</v>
      </c>
      <c r="C175" s="2" t="s">
        <v>664</v>
      </c>
      <c r="D175" s="2" t="s">
        <v>507</v>
      </c>
      <c r="E175" s="2" t="s">
        <v>508</v>
      </c>
      <c r="F175" s="3">
        <f>'РЕБ 2, мај 19'!J1552</f>
        <v>276783100</v>
      </c>
      <c r="G175" s="3">
        <f>'РЕБ 2, мај 19'!K1552</f>
        <v>10500000</v>
      </c>
      <c r="H175" s="3">
        <f>'РЕБ 2, мај 19'!L1552</f>
        <v>287283100</v>
      </c>
    </row>
    <row r="176" spans="1:12" ht="69" customHeight="1" x14ac:dyDescent="0.2">
      <c r="A176" s="11"/>
      <c r="B176" s="7"/>
      <c r="C176" s="6" t="str">
        <f>'РЕБ 2, мај 19'!I1561</f>
        <v>ПРОЈЕКАТ  - Израда пројектне документације и  изградња новог објекта за предшколску установу - прва фаза</v>
      </c>
      <c r="D176" s="2"/>
      <c r="E176" s="2"/>
      <c r="F176" s="3">
        <f>'РЕБ 2, мај 19'!J1565</f>
        <v>132800000</v>
      </c>
      <c r="G176" s="3">
        <f>'РЕБ 2, мај 19'!K1565</f>
        <v>0</v>
      </c>
      <c r="H176" s="3">
        <f>'РЕБ 2, мај 19'!L1565</f>
        <v>132800000</v>
      </c>
    </row>
    <row r="177" spans="1:12" ht="45" customHeight="1" x14ac:dyDescent="0.2">
      <c r="A177" s="11"/>
      <c r="B177" s="7"/>
      <c r="C177" s="16" t="str">
        <f>'РЕБ 2, мај 19'!I1567</f>
        <v>ПРОЈЕКАТ  - Доградња вртића на објекту Невен у Инђији</v>
      </c>
      <c r="D177" s="2"/>
      <c r="E177" s="2"/>
      <c r="F177" s="3">
        <f>'РЕБ 2, мај 19'!J1571</f>
        <v>7200000</v>
      </c>
      <c r="G177" s="3">
        <f>'РЕБ 2, мај 19'!K1571</f>
        <v>0</v>
      </c>
      <c r="H177" s="3">
        <f>'РЕБ 2, мај 19'!L1571</f>
        <v>7200000</v>
      </c>
    </row>
    <row r="178" spans="1:12" ht="39.75" customHeight="1" x14ac:dyDescent="0.2">
      <c r="A178" s="11"/>
      <c r="B178" s="7"/>
      <c r="C178" s="6" t="str">
        <f>'РЕБ 2, мај 19'!I1573</f>
        <v>ПРОЈЕКАТ  - Школица живота - заједно за детињство - Вртић Љуково</v>
      </c>
      <c r="D178" s="2"/>
      <c r="E178" s="2"/>
      <c r="F178" s="3">
        <f>'РЕБ 2, мај 19'!J1576</f>
        <v>2500000</v>
      </c>
      <c r="G178" s="3">
        <f>'РЕБ 2, мај 19'!K1576</f>
        <v>0</v>
      </c>
      <c r="H178" s="3">
        <f>'РЕБ 2, мај 19'!L1576</f>
        <v>2500000</v>
      </c>
    </row>
    <row r="179" spans="1:12" ht="57" customHeight="1" x14ac:dyDescent="0.2">
      <c r="A179" s="11"/>
      <c r="B179" s="7"/>
      <c r="C179" s="70" t="str">
        <f>'РЕБ 2, мај 19'!I1578</f>
        <v>ПРОЈЕКАТ  - Инвестициони радови на текућем одржавању, на објекту предшколске установе у Бешки</v>
      </c>
      <c r="D179" s="71"/>
      <c r="E179" s="71"/>
      <c r="F179" s="58">
        <f>'РЕБ 2, мај 19'!J1582</f>
        <v>10940000</v>
      </c>
      <c r="G179" s="58">
        <f>'РЕБ 2, мај 19'!K1582</f>
        <v>0</v>
      </c>
      <c r="H179" s="58">
        <f>'РЕБ 2, мај 19'!L1582</f>
        <v>10940000</v>
      </c>
    </row>
    <row r="180" spans="1:12" ht="58.5" customHeight="1" x14ac:dyDescent="0.2">
      <c r="A180" s="11"/>
      <c r="B180" s="7"/>
      <c r="C180" s="72" t="str">
        <f>'РЕБ 2, мај 19'!I1584</f>
        <v>ПРОЈЕКАТ  - Израда пројектне документације за доградњу вртића у Новом Сланкамену</v>
      </c>
      <c r="D180" s="71"/>
      <c r="E180" s="71"/>
      <c r="F180" s="73">
        <f>'РЕБ 2, мај 19'!J1587</f>
        <v>300000</v>
      </c>
      <c r="G180" s="73">
        <f>'РЕБ 2, мај 19'!K1587</f>
        <v>0</v>
      </c>
      <c r="H180" s="73">
        <f>'РЕБ 2, мај 19'!L1587</f>
        <v>300000</v>
      </c>
    </row>
    <row r="181" spans="1:12" ht="33.75" x14ac:dyDescent="0.2">
      <c r="A181" s="34" t="s">
        <v>381</v>
      </c>
      <c r="B181" s="34"/>
      <c r="C181" s="35" t="s">
        <v>509</v>
      </c>
      <c r="D181" s="35" t="s">
        <v>404</v>
      </c>
      <c r="E181" s="35" t="s">
        <v>510</v>
      </c>
      <c r="F181" s="36">
        <f>SUM(F182:F183)</f>
        <v>191375000</v>
      </c>
      <c r="G181" s="36">
        <f t="shared" ref="G181:H181" si="6">SUM(G182:G183)</f>
        <v>0</v>
      </c>
      <c r="H181" s="36">
        <f t="shared" si="6"/>
        <v>191375000</v>
      </c>
      <c r="L181" s="87"/>
    </row>
    <row r="182" spans="1:12" ht="33.75" x14ac:dyDescent="0.2">
      <c r="A182" s="11"/>
      <c r="B182" s="7" t="s">
        <v>230</v>
      </c>
      <c r="C182" s="2" t="str">
        <f>'РЕБ 2, мај 19'!I1592</f>
        <v>Функционисање основних школа</v>
      </c>
      <c r="D182" s="2" t="s">
        <v>511</v>
      </c>
      <c r="E182" s="2" t="s">
        <v>512</v>
      </c>
      <c r="F182" s="3">
        <f>'РЕБ 2, мај 19'!J1612</f>
        <v>190674000</v>
      </c>
      <c r="G182" s="3">
        <f>'РЕБ 2, мај 19'!K1612</f>
        <v>0</v>
      </c>
      <c r="H182" s="3">
        <f>'РЕБ 2, мај 19'!L1612</f>
        <v>190674000</v>
      </c>
    </row>
    <row r="183" spans="1:12" ht="47.25" customHeight="1" x14ac:dyDescent="0.2">
      <c r="A183" s="11"/>
      <c r="B183" s="7"/>
      <c r="C183" s="2" t="str">
        <f>'РЕБ 2, мај 19'!I1616</f>
        <v>ПРОЈЕКАТ  -  Реконструкција објекта ОШ Душан Јерковић (дворац Пеачевић)</v>
      </c>
      <c r="D183" s="2"/>
      <c r="E183" s="2"/>
      <c r="F183" s="3">
        <f>'РЕБ 2, мај 19'!J1620</f>
        <v>701000</v>
      </c>
      <c r="G183" s="3">
        <f>'РЕБ 2, мај 19'!K1620</f>
        <v>0</v>
      </c>
      <c r="H183" s="3">
        <f>'РЕБ 2, мај 19'!L1620</f>
        <v>701000</v>
      </c>
    </row>
    <row r="184" spans="1:12" ht="33.75" x14ac:dyDescent="0.2">
      <c r="A184" s="34" t="s">
        <v>382</v>
      </c>
      <c r="B184" s="34"/>
      <c r="C184" s="35" t="s">
        <v>513</v>
      </c>
      <c r="D184" s="35" t="s">
        <v>514</v>
      </c>
      <c r="E184" s="35" t="s">
        <v>515</v>
      </c>
      <c r="F184" s="36">
        <f>SUM(F185:F186)</f>
        <v>65003651.049999997</v>
      </c>
      <c r="G184" s="36">
        <f t="shared" ref="G184:H184" si="7">SUM(G185:G186)</f>
        <v>0</v>
      </c>
      <c r="H184" s="36">
        <f t="shared" si="7"/>
        <v>65003651.049999997</v>
      </c>
      <c r="L184" s="87"/>
    </row>
    <row r="185" spans="1:12" ht="33.75" x14ac:dyDescent="0.2">
      <c r="A185" s="11"/>
      <c r="B185" s="7" t="s">
        <v>232</v>
      </c>
      <c r="C185" s="2" t="s">
        <v>665</v>
      </c>
      <c r="D185" s="2" t="s">
        <v>516</v>
      </c>
      <c r="E185" s="2" t="s">
        <v>517</v>
      </c>
      <c r="F185" s="3">
        <f>'РЕБ 2, мај 19'!J1645</f>
        <v>60120000</v>
      </c>
      <c r="G185" s="3">
        <f>'РЕБ 2, мај 19'!K1645</f>
        <v>0</v>
      </c>
      <c r="H185" s="3">
        <f>'РЕБ 2, мај 19'!L1645</f>
        <v>60120000</v>
      </c>
    </row>
    <row r="186" spans="1:12" ht="45" x14ac:dyDescent="0.2">
      <c r="A186" s="11"/>
      <c r="B186" s="7"/>
      <c r="C186" s="6" t="str">
        <f>'РЕБ 2, мај 19'!I1651</f>
        <v>ПРОЈЕКАТ  - ТШ Михајло Пупин Инђија - Инвестиционо одржавање фискултурне сале</v>
      </c>
      <c r="D186" s="2"/>
      <c r="E186" s="2"/>
      <c r="F186" s="3">
        <f>'РЕБ 2, мај 19'!J1657</f>
        <v>4883651.05</v>
      </c>
      <c r="G186" s="3">
        <f>'РЕБ 2, мај 19'!K1657</f>
        <v>0</v>
      </c>
      <c r="H186" s="3">
        <f>'РЕБ 2, мај 19'!L1657</f>
        <v>4883651.05</v>
      </c>
    </row>
    <row r="187" spans="1:12" ht="45" x14ac:dyDescent="0.2">
      <c r="A187" s="34" t="s">
        <v>242</v>
      </c>
      <c r="B187" s="34"/>
      <c r="C187" s="35" t="s">
        <v>405</v>
      </c>
      <c r="D187" s="35" t="s">
        <v>518</v>
      </c>
      <c r="E187" s="35" t="s">
        <v>519</v>
      </c>
      <c r="F187" s="36">
        <f>SUM(F188:F198)</f>
        <v>222710000</v>
      </c>
      <c r="G187" s="36">
        <f>SUM(G188:G197)</f>
        <v>0</v>
      </c>
      <c r="H187" s="36">
        <f>SUM(F187:G187)</f>
        <v>222710000</v>
      </c>
      <c r="L187" s="87"/>
    </row>
    <row r="188" spans="1:12" ht="33.75" x14ac:dyDescent="0.2">
      <c r="A188" s="11"/>
      <c r="B188" s="7" t="s">
        <v>243</v>
      </c>
      <c r="C188" s="8" t="str">
        <f>'РЕБ 2, мај 19'!I1685</f>
        <v>Једнократне помоћи и други облици помоћи</v>
      </c>
      <c r="D188" s="8" t="s">
        <v>406</v>
      </c>
      <c r="E188" s="8" t="s">
        <v>520</v>
      </c>
      <c r="F188" s="3">
        <f>'РЕБ 2, мај 19'!J1667+'РЕБ 2, мај 19'!J1690+'РЕБ 2, мај 19'!J1703+'РЕБ 2, мај 19'!J1714</f>
        <v>111755000</v>
      </c>
      <c r="G188" s="3">
        <f>'РЕБ 2, мај 19'!K1667+'РЕБ 2, мај 19'!K1690+'РЕБ 2, мај 19'!K1703+'РЕБ 2, мај 19'!K1714</f>
        <v>0</v>
      </c>
      <c r="H188" s="3">
        <f>'РЕБ 2, мај 19'!L1667+'РЕБ 2, мај 19'!L1690+'РЕБ 2, мај 19'!L1703+'РЕБ 2, мај 19'!L1714</f>
        <v>111755000</v>
      </c>
    </row>
    <row r="189" spans="1:12" ht="33.75" x14ac:dyDescent="0.2">
      <c r="A189" s="11"/>
      <c r="B189" s="7" t="s">
        <v>245</v>
      </c>
      <c r="C189" s="8" t="str">
        <f>'РЕБ 2, мај 19'!I1720</f>
        <v>Породични и домски смештај, прихватилишта и друге врсте смештаја</v>
      </c>
      <c r="D189" s="8" t="s">
        <v>582</v>
      </c>
      <c r="E189" s="8" t="s">
        <v>666</v>
      </c>
      <c r="F189" s="3">
        <f>'РЕБ 2, мај 19'!J1725</f>
        <v>500000</v>
      </c>
      <c r="G189" s="3">
        <f>'РЕБ 2, мај 19'!K1725</f>
        <v>0</v>
      </c>
      <c r="H189" s="9">
        <f t="shared" ref="H189" si="8">SUM(F189:G189)</f>
        <v>500000</v>
      </c>
    </row>
    <row r="190" spans="1:12" ht="78.75" x14ac:dyDescent="0.2">
      <c r="A190" s="11"/>
      <c r="B190" s="7" t="s">
        <v>246</v>
      </c>
      <c r="C190" s="2" t="str">
        <f>'РЕБ 2, мај 19'!I1671</f>
        <v>Подршка реализацији програма Црвеног крста</v>
      </c>
      <c r="D190" s="2" t="s">
        <v>521</v>
      </c>
      <c r="E190" s="2" t="s">
        <v>522</v>
      </c>
      <c r="F190" s="4">
        <f>'РЕБ 2, мај 19'!J1676+'РЕБ 2, мај 19'!J1734</f>
        <v>11650000</v>
      </c>
      <c r="G190" s="4">
        <f>'РЕБ 2, мај 19'!K1676+'РЕБ 2, мај 19'!K1734</f>
        <v>0</v>
      </c>
      <c r="H190" s="4">
        <f>'РЕБ 2, мај 19'!L1676+'РЕБ 2, мај 19'!L1734</f>
        <v>11650000</v>
      </c>
    </row>
    <row r="191" spans="1:12" ht="22.5" x14ac:dyDescent="0.2">
      <c r="A191" s="11"/>
      <c r="B191" s="7" t="s">
        <v>244</v>
      </c>
      <c r="C191" s="2" t="str">
        <f>'РЕБ 2, мај 19'!I1738</f>
        <v>Подршка деци и породици са децом</v>
      </c>
      <c r="D191" s="2" t="s">
        <v>523</v>
      </c>
      <c r="E191" s="2" t="s">
        <v>524</v>
      </c>
      <c r="F191" s="74">
        <f>'РЕБ 2, мај 19'!J1747</f>
        <v>56300000</v>
      </c>
      <c r="G191" s="74">
        <f>'РЕБ 2, мај 19'!K1747</f>
        <v>0</v>
      </c>
      <c r="H191" s="74">
        <f>'РЕБ 2, мај 19'!L1747</f>
        <v>56300000</v>
      </c>
    </row>
    <row r="192" spans="1:12" ht="48" customHeight="1" x14ac:dyDescent="0.2">
      <c r="A192" s="11"/>
      <c r="B192" s="7"/>
      <c r="C192" s="2" t="str">
        <f>'РЕБ 2, мај 19'!I1693</f>
        <v>ПРОЈЕКАТ  - ПОДРШКА ДЕЦИ И ПОРОДИЦАМА СА ДЕЦОМ ОШТЕЋЕНОМ У РАЗВОЈУ</v>
      </c>
      <c r="D192" s="2"/>
      <c r="E192" s="2"/>
      <c r="F192" s="74">
        <f>'РЕБ 2, мај 19'!J1695</f>
        <v>16370000</v>
      </c>
      <c r="G192" s="74">
        <f>'РЕБ 2, мај 19'!K1695</f>
        <v>0</v>
      </c>
      <c r="H192" s="74">
        <f>'РЕБ 2, мај 19'!L1695</f>
        <v>16370000</v>
      </c>
    </row>
    <row r="193" spans="1:13" ht="37.5" customHeight="1" x14ac:dyDescent="0.2">
      <c r="A193" s="11"/>
      <c r="B193" s="7"/>
      <c r="C193" s="2" t="str">
        <f>'РЕБ 2, мај 19'!I1679</f>
        <v>ПРОЈЕКАТ  - Домски смештај ученика и студената</v>
      </c>
      <c r="D193" s="2"/>
      <c r="E193" s="2"/>
      <c r="F193" s="74">
        <f>'РЕБ 2, мај 19'!J1682</f>
        <v>1000000</v>
      </c>
      <c r="G193" s="74">
        <f>'РЕБ 2, мај 19'!K1682</f>
        <v>0</v>
      </c>
      <c r="H193" s="74">
        <f>'РЕБ 2, мај 19'!L1682</f>
        <v>1000000</v>
      </c>
    </row>
    <row r="194" spans="1:13" ht="26.25" customHeight="1" x14ac:dyDescent="0.2">
      <c r="A194" s="11"/>
      <c r="B194" s="7"/>
      <c r="C194" s="6" t="str">
        <f>'РЕБ 2, мај 19'!I1753</f>
        <v>ПРОЈЕКАТ  - БЕСПЛАТНЕ УЖИНЕ</v>
      </c>
      <c r="D194" s="2"/>
      <c r="E194" s="2"/>
      <c r="F194" s="74">
        <f>'РЕБ 2, мај 19'!J1755</f>
        <v>4000000</v>
      </c>
      <c r="G194" s="74">
        <f>'РЕБ 2, мај 19'!K1755</f>
        <v>0</v>
      </c>
      <c r="H194" s="74">
        <f>'РЕБ 2, мај 19'!L1755</f>
        <v>4000000</v>
      </c>
      <c r="L194" s="87"/>
    </row>
    <row r="195" spans="1:13" ht="41.25" customHeight="1" x14ac:dyDescent="0.2">
      <c r="A195" s="11"/>
      <c r="B195" s="7"/>
      <c r="C195" s="6" t="str">
        <f>'РЕБ 2, мај 19'!I1760</f>
        <v>ПРОЈЕКАТ  - ФИНАНСИРАЊЕ ВАНТЕЛЕСНЕ ОПЛОДЊЕ</v>
      </c>
      <c r="D195" s="2"/>
      <c r="E195" s="2"/>
      <c r="F195" s="74">
        <f>'РЕБ 2, мај 19'!J1762</f>
        <v>4500000</v>
      </c>
      <c r="G195" s="74">
        <f>'РЕБ 2, мај 19'!K1762</f>
        <v>0</v>
      </c>
      <c r="H195" s="74">
        <f>'РЕБ 2, мај 19'!L1762</f>
        <v>4500000</v>
      </c>
    </row>
    <row r="196" spans="1:13" ht="69" customHeight="1" x14ac:dyDescent="0.2">
      <c r="A196" s="11"/>
      <c r="B196" s="7"/>
      <c r="C196" s="6" t="str">
        <f>'РЕБ 2, мај 19'!I1767</f>
        <v>ПРОЈЕКАТ  - ФИНАНСИРАЊЕ УСЛУГА СОЦИЈАЛНЕ ЗАШТИТЕ НА ТЕРИТОРИЈИ ОПШТИНЕ ИНЂИЈА</v>
      </c>
      <c r="D196" s="2"/>
      <c r="E196" s="2"/>
      <c r="F196" s="74">
        <f>'РЕБ 2, мај 19'!J1769</f>
        <v>10360000</v>
      </c>
      <c r="G196" s="74">
        <f>'РЕБ 2, мај 19'!K1769</f>
        <v>0</v>
      </c>
      <c r="H196" s="74">
        <f>'РЕБ 2, мај 19'!L1769</f>
        <v>10360000</v>
      </c>
    </row>
    <row r="197" spans="1:13" ht="58.5" customHeight="1" x14ac:dyDescent="0.2">
      <c r="A197" s="11"/>
      <c r="B197" s="7"/>
      <c r="C197" s="16" t="str">
        <f>'РЕБ 2, мај 19'!I1772</f>
        <v>ПРОЈЕКАТ  - ПОДРШКА ДЕЦИ И ПОРОДИЦАМА СА ДЕЦОМ ОШТЕЋЕНОМ У РАЗВОЈУ - ИНО ПРОЈЕКАТ</v>
      </c>
      <c r="D197" s="2"/>
      <c r="E197" s="2"/>
      <c r="F197" s="74">
        <f>'РЕБ 2, мај 19'!J1780</f>
        <v>6274000</v>
      </c>
      <c r="G197" s="74">
        <f>'РЕБ 2, мај 19'!K1780</f>
        <v>0</v>
      </c>
      <c r="H197" s="74">
        <f>'РЕБ 2, мај 19'!L1780</f>
        <v>6274000</v>
      </c>
    </row>
    <row r="198" spans="1:13" ht="57" customHeight="1" x14ac:dyDescent="0.2">
      <c r="A198" s="11"/>
      <c r="B198" s="7"/>
      <c r="C198" s="6" t="str">
        <f>'РЕБ 2, мај 19'!I1782</f>
        <v>ПРОЈЕКАТ  - ПОДРШКА ДЕЦИ И ПОРОДИЦАМА СА ДЕЦОМ ОШТЕЋЕНОМ У РАЗВОЈУ</v>
      </c>
      <c r="D198" s="2"/>
      <c r="E198" s="2"/>
      <c r="F198" s="74">
        <f>'РЕБ 2, мај 19'!J1789</f>
        <v>1000</v>
      </c>
      <c r="G198" s="74">
        <f>'РЕБ 2, мај 19'!K1789</f>
        <v>0</v>
      </c>
      <c r="H198" s="74">
        <f>'РЕБ 2, мај 19'!L1789</f>
        <v>1000</v>
      </c>
    </row>
    <row r="199" spans="1:13" ht="33.75" x14ac:dyDescent="0.2">
      <c r="A199" s="34" t="s">
        <v>247</v>
      </c>
      <c r="B199" s="34"/>
      <c r="C199" s="35" t="s">
        <v>525</v>
      </c>
      <c r="D199" s="35" t="s">
        <v>526</v>
      </c>
      <c r="E199" s="35" t="s">
        <v>527</v>
      </c>
      <c r="F199" s="36">
        <f>SUM(F200:F204)</f>
        <v>232961000</v>
      </c>
      <c r="G199" s="36">
        <f t="shared" ref="G199:H199" si="9">SUM(G200:G204)</f>
        <v>0</v>
      </c>
      <c r="H199" s="36">
        <f t="shared" si="9"/>
        <v>232961000</v>
      </c>
      <c r="L199" s="87"/>
    </row>
    <row r="200" spans="1:13" ht="33.75" x14ac:dyDescent="0.2">
      <c r="A200" s="11"/>
      <c r="B200" s="7" t="s">
        <v>248</v>
      </c>
      <c r="C200" s="2" t="str">
        <f>'РЕБ 2, мај 19'!I1794</f>
        <v>Функционисање установа примарне здравствене заштите</v>
      </c>
      <c r="D200" s="2" t="s">
        <v>528</v>
      </c>
      <c r="E200" s="2" t="s">
        <v>529</v>
      </c>
      <c r="F200" s="3">
        <f>'РЕБ 2, мај 19'!J1796</f>
        <v>139000000</v>
      </c>
      <c r="G200" s="3">
        <f>'РЕБ 2, мај 19'!K1796</f>
        <v>0</v>
      </c>
      <c r="H200" s="3">
        <f>'РЕБ 2, мај 19'!L1796</f>
        <v>139000000</v>
      </c>
    </row>
    <row r="201" spans="1:13" ht="53.25" customHeight="1" x14ac:dyDescent="0.2">
      <c r="A201" s="11"/>
      <c r="B201" s="7" t="s">
        <v>736</v>
      </c>
      <c r="C201" s="2" t="str">
        <f>'РЕБ 2, мај 19'!I1800</f>
        <v>Спровођење активности из области друштвене бриге за јавно здравље</v>
      </c>
      <c r="D201" s="2" t="s">
        <v>893</v>
      </c>
      <c r="E201" s="2" t="s">
        <v>894</v>
      </c>
      <c r="F201" s="3">
        <f>'РЕБ 2, мај 19'!J1802</f>
        <v>300000</v>
      </c>
      <c r="G201" s="3">
        <f>'РЕБ 2, мај 19'!K1802</f>
        <v>0</v>
      </c>
      <c r="H201" s="3">
        <f>'РЕБ 2, мај 19'!L1802</f>
        <v>300000</v>
      </c>
    </row>
    <row r="202" spans="1:13" ht="44.25" customHeight="1" x14ac:dyDescent="0.2">
      <c r="A202" s="11"/>
      <c r="B202" s="7"/>
      <c r="C202" s="2" t="str">
        <f>'РЕБ 2, мај 19'!I1805</f>
        <v>ПРОЈЕКАТ - Набавка возила за Дом здравља</v>
      </c>
      <c r="D202" s="2"/>
      <c r="E202" s="2"/>
      <c r="F202" s="3">
        <f>'РЕБ 2, мај 19'!J1808</f>
        <v>30000000</v>
      </c>
      <c r="G202" s="3">
        <f>'РЕБ 2, мај 19'!K1808</f>
        <v>0</v>
      </c>
      <c r="H202" s="3">
        <f>'РЕБ 2, мај 19'!L1808</f>
        <v>30000000</v>
      </c>
    </row>
    <row r="203" spans="1:13" ht="44.25" customHeight="1" x14ac:dyDescent="0.2">
      <c r="A203" s="11"/>
      <c r="B203" s="7"/>
      <c r="C203" s="2" t="str">
        <f>'РЕБ 2, мај 19'!I1810</f>
        <v xml:space="preserve">ПРОЈЕКАТ  - Израда пројектне документације и реконструкција амбуланте у Бешки </v>
      </c>
      <c r="D203" s="2"/>
      <c r="E203" s="2"/>
      <c r="F203" s="3">
        <f>'РЕБ 2, мај 19'!J1815</f>
        <v>58961000</v>
      </c>
      <c r="G203" s="3">
        <f>'РЕБ 2, мај 19'!K1815</f>
        <v>0</v>
      </c>
      <c r="H203" s="3">
        <f>'РЕБ 2, мај 19'!L1815</f>
        <v>58961000</v>
      </c>
    </row>
    <row r="204" spans="1:13" ht="80.25" customHeight="1" x14ac:dyDescent="0.2">
      <c r="A204" s="11"/>
      <c r="B204" s="7"/>
      <c r="C204" s="6" t="str">
        <f>'РЕБ 2, мај 19'!I1817</f>
        <v>ПРОЈЕКАТ  - Израда пројектне документације и извођење радова на реконструкцији објекта здравствене станице у Новом Сланкамену</v>
      </c>
      <c r="D204" s="2"/>
      <c r="E204" s="2"/>
      <c r="F204" s="3">
        <f>'РЕБ 2, мај 19'!J1821</f>
        <v>4700000</v>
      </c>
      <c r="G204" s="3">
        <f>'РЕБ 2, мај 19'!K1821</f>
        <v>0</v>
      </c>
      <c r="H204" s="3">
        <f>'РЕБ 2, мај 19'!L1821</f>
        <v>4700000</v>
      </c>
    </row>
    <row r="205" spans="1:13" ht="33.75" x14ac:dyDescent="0.2">
      <c r="A205" s="34" t="s">
        <v>384</v>
      </c>
      <c r="B205" s="34"/>
      <c r="C205" s="35" t="s">
        <v>530</v>
      </c>
      <c r="D205" s="35" t="s">
        <v>531</v>
      </c>
      <c r="E205" s="35" t="s">
        <v>532</v>
      </c>
      <c r="F205" s="36">
        <f>SUM(F206:F215)</f>
        <v>175559600</v>
      </c>
      <c r="G205" s="36">
        <f t="shared" ref="G205:H205" si="10">SUM(G206:G215)</f>
        <v>15916050</v>
      </c>
      <c r="H205" s="36">
        <f t="shared" si="10"/>
        <v>191475650</v>
      </c>
      <c r="L205" s="87"/>
    </row>
    <row r="206" spans="1:13" ht="33.75" x14ac:dyDescent="0.2">
      <c r="A206" s="11"/>
      <c r="B206" s="15" t="s">
        <v>234</v>
      </c>
      <c r="C206" s="10" t="str">
        <f>'РЕБ 2, мај 19'!I1830</f>
        <v>Функционисање локалних установа културе</v>
      </c>
      <c r="D206" s="6" t="s">
        <v>533</v>
      </c>
      <c r="E206" s="6" t="s">
        <v>534</v>
      </c>
      <c r="F206" s="3">
        <f>'РЕБ 2, мај 19'!J1851+'РЕБ 2, мај 19'!J1897</f>
        <v>57154600</v>
      </c>
      <c r="G206" s="3">
        <f>'РЕБ 2, мај 19'!K1851+'РЕБ 2, мај 19'!K1897</f>
        <v>10996050</v>
      </c>
      <c r="H206" s="3">
        <f>'РЕБ 2, мај 19'!L1851+'РЕБ 2, мај 19'!L1897</f>
        <v>68150650</v>
      </c>
    </row>
    <row r="207" spans="1:13" ht="33.75" x14ac:dyDescent="0.2">
      <c r="A207" s="11"/>
      <c r="B207" s="15" t="s">
        <v>238</v>
      </c>
      <c r="C207" s="8" t="str">
        <f>'РЕБ 2, мај 19'!I1942</f>
        <v>Јачање културне продукције и уметничког стваралаштва</v>
      </c>
      <c r="D207" s="8" t="s">
        <v>535</v>
      </c>
      <c r="E207" s="8" t="s">
        <v>536</v>
      </c>
      <c r="F207" s="3">
        <f>'РЕБ 2, мај 19'!J1863+'РЕБ 2, мај 19'!J1947+'РЕБ 2, мај 19'!J1909</f>
        <v>34330000</v>
      </c>
      <c r="G207" s="3">
        <f>'РЕБ 2, мај 19'!K1863+'РЕБ 2, мај 19'!K1947+'РЕБ 2, мај 19'!K1909</f>
        <v>4920000</v>
      </c>
      <c r="H207" s="3">
        <f>'РЕБ 2, мај 19'!L1863+'РЕБ 2, мај 19'!L1947+'РЕБ 2, мај 19'!L1909</f>
        <v>39250000</v>
      </c>
    </row>
    <row r="208" spans="1:13" ht="45" x14ac:dyDescent="0.2">
      <c r="A208" s="7"/>
      <c r="B208" s="7" t="s">
        <v>439</v>
      </c>
      <c r="C208" s="6" t="str">
        <f>'РЕБ 2, мај 19'!I1950</f>
        <v>Унапређење система очувања и представљања културно-историјског наслеђа</v>
      </c>
      <c r="D208" s="2" t="s">
        <v>667</v>
      </c>
      <c r="E208" s="2" t="s">
        <v>668</v>
      </c>
      <c r="F208" s="4">
        <f>'РЕБ 2, мај 19'!J1955</f>
        <v>16000000</v>
      </c>
      <c r="G208" s="4">
        <f>'РЕБ 2, мај 19'!K1955</f>
        <v>0</v>
      </c>
      <c r="H208" s="4">
        <f>'РЕБ 2, мај 19'!L1955</f>
        <v>16000000</v>
      </c>
      <c r="M208" s="87"/>
    </row>
    <row r="209" spans="1:12" ht="45" x14ac:dyDescent="0.2">
      <c r="A209" s="7"/>
      <c r="B209" s="7" t="s">
        <v>441</v>
      </c>
      <c r="C209" s="6" t="str">
        <f>'РЕБ 2, мај 19'!I1958</f>
        <v>Остваривање и унапређивање јавног интереса у области јавног информисања</v>
      </c>
      <c r="D209" s="2" t="s">
        <v>537</v>
      </c>
      <c r="E209" s="2" t="s">
        <v>538</v>
      </c>
      <c r="F209" s="4">
        <f>'РЕБ 2, мај 19'!J1964</f>
        <v>28000000</v>
      </c>
      <c r="G209" s="4">
        <f>'РЕБ 2, мај 19'!K1964</f>
        <v>0</v>
      </c>
      <c r="H209" s="4">
        <f>'РЕБ 2, мај 19'!L1964</f>
        <v>28000000</v>
      </c>
    </row>
    <row r="210" spans="1:12" ht="63" customHeight="1" x14ac:dyDescent="0.2">
      <c r="A210" s="7"/>
      <c r="B210" s="7"/>
      <c r="C210" s="6" t="str">
        <f>'РЕБ 2, мај 19'!I1914</f>
        <v>ПРОЈЕКАТ - СУФИНАНСИРАЊЕ ТЕКУЋИХ РАСХОДА И ИЗДАТАКА  ДРУГИХ СУБЈЕКАТА У КУЛТУРИ</v>
      </c>
      <c r="D210" s="2"/>
      <c r="E210" s="2"/>
      <c r="F210" s="4">
        <f>'РЕБ 2, мај 19'!J1916</f>
        <v>4000000</v>
      </c>
      <c r="G210" s="4">
        <f>'РЕБ 2, мај 19'!K1916</f>
        <v>0</v>
      </c>
      <c r="H210" s="4">
        <f>'РЕБ 2, мај 19'!L1916</f>
        <v>4000000</v>
      </c>
    </row>
    <row r="211" spans="1:12" ht="30" customHeight="1" x14ac:dyDescent="0.2">
      <c r="A211" s="7"/>
      <c r="B211" s="7"/>
      <c r="C211" s="6" t="str">
        <f>'РЕБ 2, мај 19'!I1924</f>
        <v>ПРОЈЕКАТ - ИЗРАДА СПОМЕН ОБЕЛЕЖЈА</v>
      </c>
      <c r="D211" s="2"/>
      <c r="E211" s="2"/>
      <c r="F211" s="4">
        <f>'РЕБ 2, мај 19'!J1927</f>
        <v>2001000</v>
      </c>
      <c r="G211" s="4">
        <f>'РЕБ 2, мај 19'!K1927</f>
        <v>0</v>
      </c>
      <c r="H211" s="4">
        <f>'РЕБ 2, мај 19'!L1927</f>
        <v>2001000</v>
      </c>
    </row>
    <row r="212" spans="1:12" ht="27.75" customHeight="1" x14ac:dyDescent="0.2">
      <c r="A212" s="7"/>
      <c r="B212" s="7"/>
      <c r="C212" s="6" t="str">
        <f>'РЕБ 2, мај 19'!I1930</f>
        <v>ПРОЈЕКАТ - ИЗРАДА СПОМЕН ОБЕЛЕЖЈА 2</v>
      </c>
      <c r="D212" s="2"/>
      <c r="E212" s="2"/>
      <c r="F212" s="4">
        <f>'РЕБ 2, мај 19'!J1932</f>
        <v>7800000</v>
      </c>
      <c r="G212" s="4">
        <f>'РЕБ 2, мај 19'!K1932</f>
        <v>0</v>
      </c>
      <c r="H212" s="4">
        <f>'РЕБ 2, мај 19'!L1932</f>
        <v>7800000</v>
      </c>
    </row>
    <row r="213" spans="1:12" ht="72" customHeight="1" x14ac:dyDescent="0.2">
      <c r="A213" s="7"/>
      <c r="B213" s="7"/>
      <c r="C213" s="6" t="str">
        <f>'РЕБ 2, мај 19'!I1919</f>
        <v>ПРОЈЕКАТ - СУФИНАНСИРАЊЕ ПРОЈЕКТА ЗА СНИМАЊЕ ДУГОМЕТРАЖНОГ ФИЛМА "СВЕТОЗАРЈЕ СРПСКО"</v>
      </c>
      <c r="D213" s="2"/>
      <c r="E213" s="2"/>
      <c r="F213" s="4">
        <f>'РЕБ 2, мај 19'!J1921</f>
        <v>500000</v>
      </c>
      <c r="G213" s="4">
        <f>'РЕБ 2, мај 19'!K1921</f>
        <v>0</v>
      </c>
      <c r="H213" s="4">
        <f>'РЕБ 2, мај 19'!L1921</f>
        <v>500000</v>
      </c>
    </row>
    <row r="214" spans="1:12" ht="72" customHeight="1" x14ac:dyDescent="0.2">
      <c r="A214" s="7"/>
      <c r="B214" s="7"/>
      <c r="C214" s="16" t="str">
        <f>'РЕБ 2, мај 19'!I1935</f>
        <v>ПРОЈЕКАТ - ИЗРАДА СКУЛПТУРЕ НА ТРГУ СЛОБОДЕ</v>
      </c>
      <c r="D214" s="2"/>
      <c r="E214" s="2"/>
      <c r="F214" s="4">
        <f>'РЕБ 2, мај 19'!J1937</f>
        <v>2500000</v>
      </c>
      <c r="G214" s="4">
        <f>'РЕБ 2, мај 19'!K1937</f>
        <v>0</v>
      </c>
      <c r="H214" s="4">
        <f>'РЕБ 2, мај 19'!L1937</f>
        <v>2500000</v>
      </c>
    </row>
    <row r="215" spans="1:12" ht="27.75" customHeight="1" x14ac:dyDescent="0.2">
      <c r="A215" s="7"/>
      <c r="B215" s="7"/>
      <c r="C215" s="16" t="str">
        <f>'РЕБ 2, мај 19'!I1966</f>
        <v xml:space="preserve">ПРОЈЕКАТ - Општинске културне манифестације </v>
      </c>
      <c r="D215" s="2"/>
      <c r="E215" s="2"/>
      <c r="F215" s="4">
        <f>'РЕБ 2, мај 19'!J1974</f>
        <v>23274000</v>
      </c>
      <c r="G215" s="4">
        <f>'РЕБ 2, мај 19'!K1974</f>
        <v>0</v>
      </c>
      <c r="H215" s="4">
        <f>'РЕБ 2, мај 19'!L1974</f>
        <v>23274000</v>
      </c>
    </row>
    <row r="216" spans="1:12" ht="33.75" x14ac:dyDescent="0.2">
      <c r="A216" s="34" t="s">
        <v>240</v>
      </c>
      <c r="B216" s="34"/>
      <c r="C216" s="35" t="s">
        <v>407</v>
      </c>
      <c r="D216" s="35" t="s">
        <v>539</v>
      </c>
      <c r="E216" s="35" t="s">
        <v>540</v>
      </c>
      <c r="F216" s="36">
        <f>SUM(F217:F236)</f>
        <v>671249479.59000003</v>
      </c>
      <c r="G216" s="36">
        <f t="shared" ref="G216:H216" si="11">SUM(G217:G236)</f>
        <v>0</v>
      </c>
      <c r="H216" s="36">
        <f t="shared" si="11"/>
        <v>671249479.59000003</v>
      </c>
      <c r="L216" s="87"/>
    </row>
    <row r="217" spans="1:12" ht="33.75" x14ac:dyDescent="0.2">
      <c r="A217" s="11"/>
      <c r="B217" s="7" t="s">
        <v>266</v>
      </c>
      <c r="C217" s="8" t="str">
        <f>'РЕБ 2, мај 19'!I1980</f>
        <v>Подршка локалним спортским организацијама, удружењима и савезима</v>
      </c>
      <c r="D217" s="8" t="s">
        <v>541</v>
      </c>
      <c r="E217" s="8" t="s">
        <v>542</v>
      </c>
      <c r="F217" s="3">
        <f>'РЕБ 2, мај 19'!J1986</f>
        <v>125000000</v>
      </c>
      <c r="G217" s="3">
        <f>'РЕБ 2, мај 19'!K1986</f>
        <v>0</v>
      </c>
      <c r="H217" s="3">
        <f>'РЕБ 2, мај 19'!L1986</f>
        <v>125000000</v>
      </c>
    </row>
    <row r="218" spans="1:12" ht="22.5" x14ac:dyDescent="0.2">
      <c r="A218" s="7"/>
      <c r="B218" s="7" t="s">
        <v>465</v>
      </c>
      <c r="C218" s="6" t="str">
        <f>'РЕБ 2, мај 19'!I1990</f>
        <v>Функционисање локалних спортских установа</v>
      </c>
      <c r="D218" s="2" t="s">
        <v>543</v>
      </c>
      <c r="E218" s="2" t="s">
        <v>544</v>
      </c>
      <c r="F218" s="4">
        <f>'РЕБ 2, мај 19'!J2030+'РЕБ 2, мај 19'!J1995</f>
        <v>196078400</v>
      </c>
      <c r="G218" s="4">
        <f>'РЕБ 2, мај 19'!K2030+'РЕБ 2, мај 19'!K1995</f>
        <v>0</v>
      </c>
      <c r="H218" s="4">
        <f>'РЕБ 2, мај 19'!L2030+'РЕБ 2, мај 19'!L1995</f>
        <v>196078400</v>
      </c>
    </row>
    <row r="219" spans="1:12" ht="27.75" customHeight="1" x14ac:dyDescent="0.2">
      <c r="A219" s="7"/>
      <c r="B219" s="7" t="s">
        <v>733</v>
      </c>
      <c r="C219" s="6" t="str">
        <f>'РЕБ 2, мај 19'!I1999</f>
        <v>Спровођење омладинске политике</v>
      </c>
      <c r="D219" s="2"/>
      <c r="E219" s="2"/>
      <c r="F219" s="4">
        <f>'РЕБ 2, мај 19'!J2006</f>
        <v>705750</v>
      </c>
      <c r="G219" s="4">
        <f>'РЕБ 2, мај 19'!K2006</f>
        <v>0</v>
      </c>
      <c r="H219" s="4">
        <f>'РЕБ 2, мај 19'!L2006</f>
        <v>705750</v>
      </c>
      <c r="K219" s="87"/>
    </row>
    <row r="220" spans="1:12" ht="39.75" customHeight="1" x14ac:dyDescent="0.2">
      <c r="A220" s="7"/>
      <c r="B220" s="7"/>
      <c r="C220" s="6" t="str">
        <f>'РЕБ 2, мај 19'!I2120</f>
        <v>ПРОЈЕКАТ - СОЦИЈАЛНА ИНТЕГРАЦИЈА КРОЗ ПАРАСПОРТ - PARAINSPIRED</v>
      </c>
      <c r="D220" s="2"/>
      <c r="E220" s="2"/>
      <c r="F220" s="4">
        <f>'РЕБ 2, мај 19'!J2124</f>
        <v>3000000</v>
      </c>
      <c r="G220" s="4">
        <f>'РЕБ 2, мај 19'!K2124</f>
        <v>0</v>
      </c>
      <c r="H220" s="4">
        <f>'РЕБ 2, мај 19'!L2124</f>
        <v>3000000</v>
      </c>
      <c r="K220" s="87"/>
    </row>
    <row r="221" spans="1:12" ht="23.25" customHeight="1" x14ac:dyDescent="0.2">
      <c r="A221" s="7"/>
      <c r="B221" s="7"/>
      <c r="C221" s="6" t="str">
        <f>'РЕБ 2, мај 19'!I2012</f>
        <v>ПРОЈЕКАТ  - Услуге закупа клизалишта</v>
      </c>
      <c r="D221" s="2"/>
      <c r="E221" s="2"/>
      <c r="F221" s="4">
        <f>'РЕБ 2, мај 19'!J2015</f>
        <v>5500000</v>
      </c>
      <c r="G221" s="4">
        <f>'РЕБ 2, мај 19'!K2015</f>
        <v>0</v>
      </c>
      <c r="H221" s="4">
        <f>'РЕБ 2, мај 19'!L2015</f>
        <v>5500000</v>
      </c>
    </row>
    <row r="222" spans="1:12" ht="56.25" customHeight="1" x14ac:dyDescent="0.2">
      <c r="A222" s="7"/>
      <c r="B222" s="7"/>
      <c r="C222" s="6" t="str">
        <f>'РЕБ 2, мај 19'!I2017</f>
        <v xml:space="preserve">ПРОЈЕКАТ  - Прибављање монтажно-демонтажног спортског објекта </v>
      </c>
      <c r="D222" s="2"/>
      <c r="E222" s="2"/>
      <c r="F222" s="4">
        <f>'РЕБ 2, мај 19'!J2020</f>
        <v>13000000</v>
      </c>
      <c r="G222" s="4">
        <f>'РЕБ 2, мај 19'!K2020</f>
        <v>0</v>
      </c>
      <c r="H222" s="4">
        <f>'РЕБ 2, мај 19'!L2020</f>
        <v>13000000</v>
      </c>
    </row>
    <row r="223" spans="1:12" ht="90.75" customHeight="1" x14ac:dyDescent="0.2">
      <c r="A223" s="7"/>
      <c r="B223" s="7"/>
      <c r="C223" s="6" t="str">
        <f>'РЕБ 2, мај 19'!I2034</f>
        <v>ПРОЈЕКАТ - Припрема, допуна документације и исходовање документације за завршетак радова на спортској хали у Инђији до добијања употребне дозволе и извођење радова</v>
      </c>
      <c r="D223" s="2"/>
      <c r="E223" s="2"/>
      <c r="F223" s="4">
        <f>'РЕБ 2, мај 19'!J2038</f>
        <v>30001000</v>
      </c>
      <c r="G223" s="4">
        <f>'РЕБ 2, мај 19'!K2038</f>
        <v>0</v>
      </c>
      <c r="H223" s="4">
        <f>'РЕБ 2, мај 19'!L2038</f>
        <v>30001000</v>
      </c>
    </row>
    <row r="224" spans="1:12" ht="86.25" customHeight="1" x14ac:dyDescent="0.2">
      <c r="A224" s="7"/>
      <c r="B224" s="7"/>
      <c r="C224" s="6" t="str">
        <f>'РЕБ 2, мај 19'!I2040</f>
        <v>ПРОЈЕКАТ  - Израда плана детаљне регулације дела блока 9 у насељу Бешка намењеном за спортско рекреативне садржаје и изградњу спортске сале</v>
      </c>
      <c r="D224" s="2"/>
      <c r="E224" s="2"/>
      <c r="F224" s="4">
        <f>'РЕБ 2, мај 19'!J2043</f>
        <v>600000</v>
      </c>
      <c r="G224" s="4">
        <f>'РЕБ 2, мај 19'!K2043</f>
        <v>0</v>
      </c>
      <c r="H224" s="4">
        <f>'РЕБ 2, мај 19'!L2043</f>
        <v>600000</v>
      </c>
    </row>
    <row r="225" spans="1:12" ht="34.5" customHeight="1" x14ac:dyDescent="0.2">
      <c r="A225" s="7"/>
      <c r="B225" s="7"/>
      <c r="C225" s="6" t="str">
        <f>'РЕБ 2, мај 19'!I2045</f>
        <v>ПРОЈЕКАТ  - Изградња спортске хале у Бешки прва фаза</v>
      </c>
      <c r="D225" s="2"/>
      <c r="E225" s="2"/>
      <c r="F225" s="4">
        <f>'РЕБ 2, мај 19'!J2051</f>
        <v>13101000</v>
      </c>
      <c r="G225" s="4">
        <f>'РЕБ 2, мај 19'!K2051</f>
        <v>0</v>
      </c>
      <c r="H225" s="4">
        <f>'РЕБ 2, мај 19'!L2051</f>
        <v>13101000</v>
      </c>
    </row>
    <row r="226" spans="1:12" ht="46.5" customHeight="1" x14ac:dyDescent="0.2">
      <c r="A226" s="7"/>
      <c r="B226" s="7"/>
      <c r="C226" s="6" t="str">
        <f>'РЕБ 2, мај 19'!I2053</f>
        <v>ПРОЈЕКАТ - Израда пројектне документације реконструкције стадиона Хајдук у Бешки</v>
      </c>
      <c r="D226" s="2"/>
      <c r="E226" s="2"/>
      <c r="F226" s="4">
        <f>'РЕБ 2, мај 19'!J2056</f>
        <v>600000</v>
      </c>
      <c r="G226" s="4">
        <f>'РЕБ 2, мај 19'!K2056</f>
        <v>0</v>
      </c>
      <c r="H226" s="4">
        <f>'РЕБ 2, мај 19'!L2056</f>
        <v>600000</v>
      </c>
    </row>
    <row r="227" spans="1:12" ht="60" customHeight="1" x14ac:dyDescent="0.2">
      <c r="A227" s="7"/>
      <c r="B227" s="7"/>
      <c r="C227" s="16" t="str">
        <f>'РЕБ 2, мај 19'!I2058</f>
        <v>ПРОЈЕКАТ  - Израда пројектне документације и извођење радова за хидромасажни базен и плато</v>
      </c>
      <c r="D227" s="2"/>
      <c r="E227" s="2"/>
      <c r="F227" s="4">
        <f>'РЕБ 2, мај 19'!J2061</f>
        <v>2000000</v>
      </c>
      <c r="G227" s="4">
        <f>'РЕБ 2, мај 19'!K2061</f>
        <v>0</v>
      </c>
      <c r="H227" s="4">
        <f>'РЕБ 2, мај 19'!L2061</f>
        <v>2000000</v>
      </c>
    </row>
    <row r="228" spans="1:12" ht="27.75" customHeight="1" x14ac:dyDescent="0.2">
      <c r="A228" s="7"/>
      <c r="B228" s="7"/>
      <c r="C228" s="6" t="str">
        <f>'РЕБ 2, мај 19'!I2063</f>
        <v xml:space="preserve">ПРОЈЕКАТ - Уређење градског  базена </v>
      </c>
      <c r="D228" s="2"/>
      <c r="E228" s="2"/>
      <c r="F228" s="4">
        <f>'РЕБ 2, мај 19'!J2066</f>
        <v>5280000</v>
      </c>
      <c r="G228" s="4">
        <f>'РЕБ 2, мај 19'!K2066</f>
        <v>0</v>
      </c>
      <c r="H228" s="4">
        <f>'РЕБ 2, мај 19'!L2066</f>
        <v>5280000</v>
      </c>
    </row>
    <row r="229" spans="1:12" ht="58.5" customHeight="1" x14ac:dyDescent="0.2">
      <c r="A229" s="7"/>
      <c r="B229" s="7"/>
      <c r="C229" s="6" t="str">
        <f>'РЕБ 2, мај 19'!I2068</f>
        <v>ПРОЈЕКАТ - Израда пројектне документације и изградња тротоара око спортске хале у Инђији</v>
      </c>
      <c r="D229" s="2"/>
      <c r="E229" s="2"/>
      <c r="F229" s="4">
        <f>'РЕБ 2, мај 19'!J2071</f>
        <v>1700000</v>
      </c>
      <c r="G229" s="4">
        <f>'РЕБ 2, мај 19'!K2071</f>
        <v>0</v>
      </c>
      <c r="H229" s="4">
        <f>'РЕБ 2, мај 19'!L2071</f>
        <v>1700000</v>
      </c>
    </row>
    <row r="230" spans="1:12" ht="49.5" customHeight="1" x14ac:dyDescent="0.2">
      <c r="A230" s="7"/>
      <c r="B230" s="7"/>
      <c r="C230" s="6" t="str">
        <f>'РЕБ 2, мај 19'!I2073</f>
        <v>ПРОЈЕКАТ - Израда пројекта и изградња на спортским теренима у Лејама - прва фаза</v>
      </c>
      <c r="D230" s="2"/>
      <c r="E230" s="2"/>
      <c r="F230" s="4">
        <f>'РЕБ 2, мај 19'!J2077</f>
        <v>14281000</v>
      </c>
      <c r="G230" s="4">
        <f>'РЕБ 2, мај 19'!K2077</f>
        <v>0</v>
      </c>
      <c r="H230" s="4">
        <f>'РЕБ 2, мај 19'!L2077</f>
        <v>14281000</v>
      </c>
    </row>
    <row r="231" spans="1:12" ht="50.25" customHeight="1" x14ac:dyDescent="0.2">
      <c r="A231" s="7"/>
      <c r="B231" s="7"/>
      <c r="C231" s="6" t="str">
        <f>'РЕБ 2, мај 19'!I2079</f>
        <v>ПРОЈЕКАТ  - Израда пројекта и изградња трим стазе са јавним осветљењем у Лејама</v>
      </c>
      <c r="D231" s="2"/>
      <c r="E231" s="2"/>
      <c r="F231" s="4">
        <f>'РЕБ 2, мај 19'!J2084</f>
        <v>12853000</v>
      </c>
      <c r="G231" s="4">
        <f>'РЕБ 2, мај 19'!K2084</f>
        <v>0</v>
      </c>
      <c r="H231" s="4">
        <f>'РЕБ 2, мај 19'!L2084</f>
        <v>12853000</v>
      </c>
    </row>
    <row r="232" spans="1:12" ht="50.25" customHeight="1" x14ac:dyDescent="0.2">
      <c r="A232" s="7"/>
      <c r="B232" s="7"/>
      <c r="C232" s="6" t="str">
        <f>'РЕБ 2, мај 19'!I2086</f>
        <v>ПРОЈЕКАТ - Изградња спортске сале у Инђији - IV фаза</v>
      </c>
      <c r="D232" s="2"/>
      <c r="E232" s="2"/>
      <c r="F232" s="4">
        <f>'РЕБ 2, мај 19'!J2091</f>
        <v>86849329.590000004</v>
      </c>
      <c r="G232" s="4">
        <f>'РЕБ 2, мај 19'!K2091</f>
        <v>0</v>
      </c>
      <c r="H232" s="4">
        <f>'РЕБ 2, мај 19'!L2091</f>
        <v>86849329.590000004</v>
      </c>
    </row>
    <row r="233" spans="1:12" ht="51" customHeight="1" x14ac:dyDescent="0.2">
      <c r="A233" s="7"/>
      <c r="B233" s="7"/>
      <c r="C233" s="6" t="str">
        <f>'РЕБ 2, мај 19'!I2093</f>
        <v>ПРОЈЕКАТ  - Завршетак изградње спортске хале у Инђији - ПАРТЕРНО УРЕЂЕЊЕ</v>
      </c>
      <c r="D233" s="2"/>
      <c r="E233" s="2"/>
      <c r="F233" s="4">
        <f>'РЕБ 2, мај 19'!J2098</f>
        <v>133000000</v>
      </c>
      <c r="G233" s="4">
        <f>'РЕБ 2, мај 19'!K2098</f>
        <v>0</v>
      </c>
      <c r="H233" s="4">
        <f>'РЕБ 2, мај 19'!L2098</f>
        <v>133000000</v>
      </c>
    </row>
    <row r="234" spans="1:12" ht="60" customHeight="1" x14ac:dyDescent="0.2">
      <c r="A234" s="7"/>
      <c r="B234" s="7"/>
      <c r="C234" s="6" t="str">
        <f>'РЕБ 2, мај 19'!I2100</f>
        <v>ПРОЈЕКАТ  - Санација отвореног школског терена у ОШ "Бранко Радичевић" у Марадику</v>
      </c>
      <c r="D234" s="2"/>
      <c r="E234" s="2"/>
      <c r="F234" s="4">
        <f>'РЕБ 2, мај 19'!J2104</f>
        <v>3800000</v>
      </c>
      <c r="G234" s="4">
        <f>'РЕБ 2, мај 19'!K2104</f>
        <v>0</v>
      </c>
      <c r="H234" s="4">
        <f>'РЕБ 2, мај 19'!L2104</f>
        <v>3800000</v>
      </c>
    </row>
    <row r="235" spans="1:12" ht="60" customHeight="1" x14ac:dyDescent="0.2">
      <c r="A235" s="7"/>
      <c r="B235" s="7"/>
      <c r="C235" s="6" t="str">
        <f>'РЕБ 2, мај 19'!I2106</f>
        <v>ПРОЈЕКАТ  - Спортски терен у Бешки</v>
      </c>
      <c r="D235" s="2"/>
      <c r="E235" s="2"/>
      <c r="F235" s="4">
        <f>'РЕБ 2, мај 19'!J2110</f>
        <v>4000000</v>
      </c>
      <c r="G235" s="4">
        <f>'РЕБ 2, мај 19'!K2110</f>
        <v>0</v>
      </c>
      <c r="H235" s="4">
        <f>'РЕБ 2, мај 19'!L2110</f>
        <v>4000000</v>
      </c>
    </row>
    <row r="236" spans="1:12" ht="32.25" customHeight="1" x14ac:dyDescent="0.2">
      <c r="A236" s="7"/>
      <c r="B236" s="7"/>
      <c r="C236" s="6" t="str">
        <f>'РЕБ 2, мај 19'!I2113</f>
        <v>ПРОЈЕКАТ  - ИНВЕСТИЦИЈЕ У СПОРТУ -Израда пројектне документације, изградња и опремање објекта Академије спорта у Лејама</v>
      </c>
      <c r="D236" s="2"/>
      <c r="E236" s="2"/>
      <c r="F236" s="4">
        <f>'РЕБ 2, мај 19'!J2117</f>
        <v>19900000</v>
      </c>
      <c r="G236" s="4">
        <f>'РЕБ 2, мај 19'!K2117</f>
        <v>0</v>
      </c>
      <c r="H236" s="4">
        <f>'РЕБ 2, мај 19'!L2117</f>
        <v>19900000</v>
      </c>
    </row>
    <row r="237" spans="1:12" ht="56.25" x14ac:dyDescent="0.2">
      <c r="A237" s="34" t="s">
        <v>239</v>
      </c>
      <c r="B237" s="34"/>
      <c r="C237" s="35" t="s">
        <v>545</v>
      </c>
      <c r="D237" s="35" t="s">
        <v>580</v>
      </c>
      <c r="E237" s="35" t="s">
        <v>546</v>
      </c>
      <c r="F237" s="36">
        <f>SUM(F238:F261)</f>
        <v>753174074.62</v>
      </c>
      <c r="G237" s="36">
        <f t="shared" ref="G237:H237" si="12">SUM(G238:G261)</f>
        <v>0</v>
      </c>
      <c r="H237" s="36">
        <f t="shared" si="12"/>
        <v>753174074.62</v>
      </c>
      <c r="L237" s="87"/>
    </row>
    <row r="238" spans="1:12" ht="33.75" x14ac:dyDescent="0.2">
      <c r="A238" s="11"/>
      <c r="B238" s="11" t="s">
        <v>262</v>
      </c>
      <c r="C238" s="6" t="str">
        <f>'РЕБ 2, мај 19'!I336</f>
        <v>Функционисање локалне самоуправе и градских општина</v>
      </c>
      <c r="D238" s="6" t="s">
        <v>547</v>
      </c>
      <c r="E238" s="6" t="s">
        <v>548</v>
      </c>
      <c r="F238" s="3">
        <f>'РЕБ 2, мај 19'!J366</f>
        <v>537546671.39999998</v>
      </c>
      <c r="G238" s="3">
        <f>'РЕБ 2, мај 19'!K366</f>
        <v>0</v>
      </c>
      <c r="H238" s="3">
        <f>'РЕБ 2, мај 19'!L366</f>
        <v>537546671.39999998</v>
      </c>
    </row>
    <row r="239" spans="1:12" ht="45" x14ac:dyDescent="0.2">
      <c r="A239" s="11"/>
      <c r="B239" s="11" t="s">
        <v>268</v>
      </c>
      <c r="C239" s="6" t="str">
        <f>'РЕБ 2, мај 19'!I2175</f>
        <v>Функционисање месних заједница</v>
      </c>
      <c r="D239" s="6" t="s">
        <v>581</v>
      </c>
      <c r="E239" s="6" t="s">
        <v>549</v>
      </c>
      <c r="F239" s="3">
        <f>'РЕБ 2, мај 19'!J2199</f>
        <v>32691715.620000001</v>
      </c>
      <c r="G239" s="3">
        <f>'РЕБ 2, мај 19'!K2199</f>
        <v>0</v>
      </c>
      <c r="H239" s="3">
        <f>'РЕБ 2, мај 19'!L2199</f>
        <v>32691715.620000001</v>
      </c>
    </row>
    <row r="240" spans="1:12" ht="33.75" x14ac:dyDescent="0.2">
      <c r="A240" s="11"/>
      <c r="B240" s="11" t="s">
        <v>413</v>
      </c>
      <c r="C240" s="6" t="str">
        <f>'РЕБ 2, мај 19'!I274</f>
        <v>Општинско/градско правобранилаштво</v>
      </c>
      <c r="D240" s="6" t="s">
        <v>550</v>
      </c>
      <c r="E240" s="6" t="s">
        <v>551</v>
      </c>
      <c r="F240" s="3">
        <f>'РЕБ 2, мај 19'!J289</f>
        <v>4636500</v>
      </c>
      <c r="G240" s="3">
        <f>'РЕБ 2, мај 19'!K289</f>
        <v>0</v>
      </c>
      <c r="H240" s="3">
        <f>'РЕБ 2, мај 19'!L289</f>
        <v>4636500</v>
      </c>
    </row>
    <row r="241" spans="1:12" x14ac:dyDescent="0.2">
      <c r="A241" s="11"/>
      <c r="B241" s="11" t="s">
        <v>433</v>
      </c>
      <c r="C241" s="6" t="str">
        <f>'РЕБ 2, мај 19'!I2131</f>
        <v>Текућа буџетска резерва</v>
      </c>
      <c r="D241" s="2"/>
      <c r="E241" s="2"/>
      <c r="F241" s="4">
        <f>'РЕБ 2, мај 19'!J2136</f>
        <v>33555952.399999999</v>
      </c>
      <c r="G241" s="4">
        <f>'РЕБ 2, мај 19'!K2136</f>
        <v>0</v>
      </c>
      <c r="H241" s="4">
        <f>'РЕБ 2, мај 19'!L2136</f>
        <v>33555952.399999999</v>
      </c>
    </row>
    <row r="242" spans="1:12" x14ac:dyDescent="0.2">
      <c r="A242" s="11"/>
      <c r="B242" s="11" t="s">
        <v>264</v>
      </c>
      <c r="C242" s="6" t="str">
        <f>'РЕБ 2, мај 19'!I2142</f>
        <v>Стална буџетска резерва</v>
      </c>
      <c r="D242" s="2"/>
      <c r="E242" s="2"/>
      <c r="F242" s="4">
        <f>'РЕБ 2, мај 19'!J2145</f>
        <v>1800000</v>
      </c>
      <c r="G242" s="4">
        <f>'РЕБ 2, мај 19'!K2145</f>
        <v>0</v>
      </c>
      <c r="H242" s="4">
        <f>'РЕБ 2, мај 19'!L2145</f>
        <v>1800000</v>
      </c>
    </row>
    <row r="243" spans="1:12" x14ac:dyDescent="0.2">
      <c r="A243" s="11"/>
      <c r="B243" s="11" t="s">
        <v>689</v>
      </c>
      <c r="C243" s="6" t="str">
        <f>'РЕБ 2, мај 19'!I369</f>
        <v>Сервисирање јавног дуга</v>
      </c>
      <c r="D243" s="2"/>
      <c r="E243" s="2"/>
      <c r="F243" s="4">
        <f>'РЕБ 2, мај 19'!J372</f>
        <v>6550000</v>
      </c>
      <c r="G243" s="4">
        <f>'РЕБ 2, мај 19'!K372</f>
        <v>0</v>
      </c>
      <c r="H243" s="4">
        <f>'РЕБ 2, мај 19'!L372</f>
        <v>6550000</v>
      </c>
    </row>
    <row r="244" spans="1:12" ht="43.5" customHeight="1" x14ac:dyDescent="0.2">
      <c r="A244" s="11"/>
      <c r="B244" s="11"/>
      <c r="C244" s="14" t="str">
        <f>'РЕБ 2, мај 19'!I375</f>
        <v>ПРОЈЕКАТ - Модернизација рада Скупштине општине Инђија</v>
      </c>
      <c r="D244" s="2"/>
      <c r="E244" s="2"/>
      <c r="F244" s="4">
        <f>'РЕБ 2, мај 19'!J377</f>
        <v>4053235.2</v>
      </c>
      <c r="G244" s="4">
        <f>'РЕБ 2, мај 19'!K377</f>
        <v>0</v>
      </c>
      <c r="H244" s="4">
        <f>'РЕБ 2, мај 19'!L377</f>
        <v>4053235.2</v>
      </c>
    </row>
    <row r="245" spans="1:12" ht="55.5" customHeight="1" x14ac:dyDescent="0.2">
      <c r="A245" s="11"/>
      <c r="B245" s="11"/>
      <c r="C245" s="14" t="str">
        <f>'РЕБ 2, мај 19'!I381</f>
        <v>ПРОЈЕКАТ - Реконструкција зграде Месне заједнице у Старом Сланкамену</v>
      </c>
      <c r="D245" s="2"/>
      <c r="E245" s="2"/>
      <c r="F245" s="4">
        <f>'РЕБ 2, мај 19'!J384</f>
        <v>2380000</v>
      </c>
      <c r="G245" s="4">
        <f>'РЕБ 2, мај 19'!K384</f>
        <v>0</v>
      </c>
      <c r="H245" s="4">
        <f>'РЕБ 2, мај 19'!L384</f>
        <v>2380000</v>
      </c>
      <c r="L245" s="87"/>
    </row>
    <row r="246" spans="1:12" ht="57.75" customHeight="1" x14ac:dyDescent="0.2">
      <c r="A246" s="11"/>
      <c r="B246" s="11"/>
      <c r="C246" s="103" t="str">
        <f>'РЕБ 2, мај 19'!I387</f>
        <v xml:space="preserve">ПРОЈЕКАТ - Израда пројектне документације, адаптација и реконструкција  "Виле Љубица" у Сутомору </v>
      </c>
      <c r="D246" s="2"/>
      <c r="E246" s="2"/>
      <c r="F246" s="4">
        <f>'РЕБ 2, мај 19'!J390</f>
        <v>25300000</v>
      </c>
      <c r="G246" s="4">
        <f>'РЕБ 2, мај 19'!K390</f>
        <v>0</v>
      </c>
      <c r="H246" s="4">
        <f>'РЕБ 2, мај 19'!L390</f>
        <v>25300000</v>
      </c>
      <c r="L246" s="87"/>
    </row>
    <row r="247" spans="1:12" ht="47.25" customHeight="1" x14ac:dyDescent="0.2">
      <c r="A247" s="11"/>
      <c r="B247" s="11"/>
      <c r="C247" s="103" t="str">
        <f>'РЕБ 2, мај 19'!I393</f>
        <v xml:space="preserve">ПРОЈЕКАТ - Бесповратно суфинансирање активности на уређењу фасада зграда </v>
      </c>
      <c r="D247" s="2"/>
      <c r="E247" s="2"/>
      <c r="F247" s="4">
        <f>'РЕБ 2, мај 19'!J395</f>
        <v>10000000</v>
      </c>
      <c r="G247" s="4">
        <f>'РЕБ 2, мај 19'!K395</f>
        <v>0</v>
      </c>
      <c r="H247" s="4">
        <f>'РЕБ 2, мај 19'!L395</f>
        <v>10000000</v>
      </c>
      <c r="L247" s="87"/>
    </row>
    <row r="248" spans="1:12" ht="56.25" customHeight="1" x14ac:dyDescent="0.2">
      <c r="A248" s="11"/>
      <c r="B248" s="11"/>
      <c r="C248" s="14" t="str">
        <f>'РЕБ 2, мај 19'!I398</f>
        <v>ПРОЈЕКАТ  - Израда пројектне документације и реконструкција крова и фасаде на објекту МЗ Нови Сланкамен</v>
      </c>
      <c r="D248" s="2"/>
      <c r="E248" s="2"/>
      <c r="F248" s="4">
        <f>'РЕБ 2, мај 19'!J402</f>
        <v>7800000</v>
      </c>
      <c r="G248" s="4">
        <f>'РЕБ 2, мај 19'!K402</f>
        <v>0</v>
      </c>
      <c r="H248" s="4">
        <f>'РЕБ 2, мај 19'!L402</f>
        <v>7800000</v>
      </c>
    </row>
    <row r="249" spans="1:12" ht="33.75" customHeight="1" x14ac:dyDescent="0.2">
      <c r="A249" s="11"/>
      <c r="B249" s="11"/>
      <c r="C249" s="14" t="str">
        <f>'РЕБ 2, мај 19'!I406</f>
        <v>ПРОЈЕКАТ  - ПОБОЉШАЊЕ СТАНДАРДА СТУДЕНАТА</v>
      </c>
      <c r="D249" s="2"/>
      <c r="E249" s="2"/>
      <c r="F249" s="4">
        <f>'РЕБ 2, мај 19'!J409</f>
        <v>20500000</v>
      </c>
      <c r="G249" s="4">
        <f>'РЕБ 2, мај 19'!K409</f>
        <v>0</v>
      </c>
      <c r="H249" s="4">
        <f>'РЕБ 2, мај 19'!L409</f>
        <v>20500000</v>
      </c>
    </row>
    <row r="250" spans="1:12" ht="37.5" customHeight="1" x14ac:dyDescent="0.2">
      <c r="A250" s="11"/>
      <c r="B250" s="11"/>
      <c r="C250" s="14" t="str">
        <f>'РЕБ 2, мај 19'!I415</f>
        <v>ПРОЈЕКАТ - ПОКЛОНИ ЗА ВУКОВЦЕ</v>
      </c>
      <c r="D250" s="2"/>
      <c r="E250" s="2"/>
      <c r="F250" s="4">
        <f>'РЕБ 2, мај 19'!J417</f>
        <v>6000000</v>
      </c>
      <c r="G250" s="4">
        <f>'РЕБ 2, мај 19'!K417</f>
        <v>0</v>
      </c>
      <c r="H250" s="4">
        <f>'РЕБ 2, мај 19'!L417</f>
        <v>6000000</v>
      </c>
    </row>
    <row r="251" spans="1:12" ht="34.5" customHeight="1" x14ac:dyDescent="0.2">
      <c r="A251" s="11"/>
      <c r="B251" s="11"/>
      <c r="C251" s="14" t="str">
        <f>'РЕБ 2, мај 19'!I422</f>
        <v>ПРОЈЕКАТ- ПОКЛОНИ ЗА ИСТАКНУТЕ УЧЕНИКЕ И СПОРТИСТЕ</v>
      </c>
      <c r="D251" s="2"/>
      <c r="E251" s="2"/>
      <c r="F251" s="4">
        <f>'РЕБ 2, мај 19'!J424</f>
        <v>1500000</v>
      </c>
      <c r="G251" s="4">
        <f>'РЕБ 2, мај 19'!K424</f>
        <v>0</v>
      </c>
      <c r="H251" s="4">
        <f>'РЕБ 2, мај 19'!L424</f>
        <v>1500000</v>
      </c>
    </row>
    <row r="252" spans="1:12" ht="24" customHeight="1" x14ac:dyDescent="0.2">
      <c r="A252" s="11"/>
      <c r="B252" s="11"/>
      <c r="C252" s="14" t="str">
        <f>'РЕБ 2, мај 19'!I427</f>
        <v>ПРОЈЕКАТ - СТИПЕНДИЈЕ ЗА СПОРТИСТЕ</v>
      </c>
      <c r="D252" s="2"/>
      <c r="E252" s="2"/>
      <c r="F252" s="4">
        <f>'РЕБ 2, мај 19'!J429</f>
        <v>2400000</v>
      </c>
      <c r="G252" s="4">
        <f>'РЕБ 2, мај 19'!K429</f>
        <v>0</v>
      </c>
      <c r="H252" s="4">
        <f>'РЕБ 2, мај 19'!L429</f>
        <v>2400000</v>
      </c>
    </row>
    <row r="253" spans="1:12" ht="32.25" customHeight="1" x14ac:dyDescent="0.2">
      <c r="A253" s="11"/>
      <c r="B253" s="11"/>
      <c r="C253" s="14" t="str">
        <f>'РЕБ 2, мај 19'!I434</f>
        <v>ПРОЈЕКАТ - Набавка паник тастера</v>
      </c>
      <c r="D253" s="2"/>
      <c r="E253" s="2"/>
      <c r="F253" s="4">
        <f>'РЕБ 2, мај 19'!J436</f>
        <v>6000000</v>
      </c>
      <c r="G253" s="4">
        <f>'РЕБ 2, мај 19'!K436</f>
        <v>0</v>
      </c>
      <c r="H253" s="4">
        <f>'РЕБ 2, мај 19'!L436</f>
        <v>6000000</v>
      </c>
    </row>
    <row r="254" spans="1:12" ht="60.75" customHeight="1" x14ac:dyDescent="0.2">
      <c r="A254" s="11"/>
      <c r="B254" s="11"/>
      <c r="C254" s="104" t="str">
        <f>'РЕБ 2, мај 19'!I441</f>
        <v>ПРОЈЕКАТ  - Успостављање истраживачког центра Милутин Миланковић у Старом Сланкамену</v>
      </c>
      <c r="D254" s="2"/>
      <c r="E254" s="2"/>
      <c r="F254" s="4">
        <f>'РЕБ 2, мај 19'!J443</f>
        <v>14800000</v>
      </c>
      <c r="G254" s="4">
        <f>'РЕБ 2, мај 19'!K443</f>
        <v>0</v>
      </c>
      <c r="H254" s="4">
        <f>'РЕБ 2, мај 19'!L443</f>
        <v>14800000</v>
      </c>
    </row>
    <row r="255" spans="1:12" ht="70.5" customHeight="1" x14ac:dyDescent="0.2">
      <c r="A255" s="11"/>
      <c r="B255" s="11"/>
      <c r="C255" s="14" t="str">
        <f>'РЕБ 2, мај 19'!I2149</f>
        <v>ПРОЈЕКАТ - Л А П - за унапређење образовања, запошљавања, здравља и становања Рома у општини Инђија 2016-2020. година</v>
      </c>
      <c r="D255" s="2"/>
      <c r="E255" s="2"/>
      <c r="F255" s="4">
        <f>'РЕБ 2, мај 19'!J2151</f>
        <v>22000000</v>
      </c>
      <c r="G255" s="4">
        <f>'РЕБ 2, мај 19'!K2151</f>
        <v>0</v>
      </c>
      <c r="H255" s="4">
        <f>'РЕБ 2, мај 19'!L2151</f>
        <v>22000000</v>
      </c>
    </row>
    <row r="256" spans="1:12" ht="37.5" customHeight="1" x14ac:dyDescent="0.2">
      <c r="A256" s="11"/>
      <c r="B256" s="11"/>
      <c r="C256" s="14" t="str">
        <f>'РЕБ 2, мај 19'!I2154</f>
        <v>ПРОЈЕКАТ -  Санација  крова на објекту Дома културе у Новим Карловцима</v>
      </c>
      <c r="D256" s="2"/>
      <c r="E256" s="2"/>
      <c r="F256" s="4">
        <f>'РЕБ 2, мај 19'!J2156</f>
        <v>2940000</v>
      </c>
      <c r="G256" s="4">
        <f>'РЕБ 2, мај 19'!K2156</f>
        <v>0</v>
      </c>
      <c r="H256" s="4">
        <f>'РЕБ 2, мај 19'!L2156</f>
        <v>2940000</v>
      </c>
    </row>
    <row r="257" spans="1:12" ht="50.25" customHeight="1" x14ac:dyDescent="0.2">
      <c r="A257" s="11"/>
      <c r="B257" s="11"/>
      <c r="C257" s="14" t="str">
        <f>'РЕБ 2, мај 19'!I2159</f>
        <v>ПРОЈЕКАТ - Текуће одржавње фасаде и просторија амбуланте у Новим Карловцима</v>
      </c>
      <c r="D257" s="2"/>
      <c r="E257" s="2"/>
      <c r="F257" s="4">
        <f>'РЕБ 2, мај 19'!J2162</f>
        <v>4740000</v>
      </c>
      <c r="G257" s="4">
        <f>'РЕБ 2, мај 19'!K2162</f>
        <v>0</v>
      </c>
      <c r="H257" s="4">
        <f>'РЕБ 2, мај 19'!L2162</f>
        <v>4740000</v>
      </c>
    </row>
    <row r="258" spans="1:12" ht="63" customHeight="1" x14ac:dyDescent="0.2">
      <c r="A258" s="11"/>
      <c r="B258" s="11"/>
      <c r="C258" s="14" t="str">
        <f>'РЕБ 2, мај 19'!I2164</f>
        <v>ПРОЈЕКАТ - Израда техничке документације за гасификацију објекта Дома културе у Новим Карловцима</v>
      </c>
      <c r="D258" s="2"/>
      <c r="E258" s="2"/>
      <c r="F258" s="4">
        <f>'РЕБ 2, мај 19'!J2167</f>
        <v>180000</v>
      </c>
      <c r="G258" s="4">
        <f>'РЕБ 2, мај 19'!K2167</f>
        <v>0</v>
      </c>
      <c r="H258" s="4">
        <f>'РЕБ 2, мај 19'!L2167</f>
        <v>180000</v>
      </c>
    </row>
    <row r="259" spans="1:12" ht="55.5" customHeight="1" x14ac:dyDescent="0.2">
      <c r="A259" s="11"/>
      <c r="B259" s="11"/>
      <c r="C259" s="14" t="str">
        <f>'РЕБ 2, мај 19'!I2169</f>
        <v>ПРОЈЕКАТ - Израда техничке документације за реконструкцију Ловачког дома у Љукову</v>
      </c>
      <c r="D259" s="2"/>
      <c r="E259" s="2"/>
      <c r="F259" s="4">
        <f>'РЕБ 2, мај 19'!J2172</f>
        <v>300000</v>
      </c>
      <c r="G259" s="4">
        <f>'РЕБ 2, мај 19'!K2172</f>
        <v>0</v>
      </c>
      <c r="H259" s="4">
        <f>'РЕБ 2, мај 19'!L2172</f>
        <v>300000</v>
      </c>
    </row>
    <row r="260" spans="1:12" ht="39.75" customHeight="1" x14ac:dyDescent="0.2">
      <c r="A260" s="11"/>
      <c r="B260" s="11"/>
      <c r="C260" s="14" t="str">
        <f>'РЕБ 2, мај 19'!I2201</f>
        <v xml:space="preserve">ПРОЈЕКАТ  - ОПРЕМАЊЕ ДОМА КУЛТУРЕ У МАРАДИКУ </v>
      </c>
      <c r="D260" s="2"/>
      <c r="E260" s="2"/>
      <c r="F260" s="4">
        <f>'РЕБ 2, мај 19'!J2205</f>
        <v>4000000</v>
      </c>
      <c r="G260" s="4">
        <f>'РЕБ 2, мај 19'!K2205</f>
        <v>0</v>
      </c>
      <c r="H260" s="4">
        <f>'РЕБ 2, мај 19'!L2205</f>
        <v>4000000</v>
      </c>
    </row>
    <row r="261" spans="1:12" ht="37.5" customHeight="1" x14ac:dyDescent="0.2">
      <c r="A261" s="11"/>
      <c r="B261" s="11"/>
      <c r="C261" s="14" t="str">
        <f>'РЕБ 2, мај 19'!I2207</f>
        <v xml:space="preserve">ПРОЈЕКАТ  - ИЗГРАДЊА ДОМА КУЛТУРЕ У КРЧЕДИНУ </v>
      </c>
      <c r="D261" s="2"/>
      <c r="E261" s="2"/>
      <c r="F261" s="4">
        <f>'РЕБ 2, мај 19'!J2209</f>
        <v>1500000</v>
      </c>
      <c r="G261" s="4">
        <f>'РЕБ 2, мај 19'!K2209</f>
        <v>0</v>
      </c>
      <c r="H261" s="4">
        <f>'РЕБ 2, мај 19'!L2209</f>
        <v>1500000</v>
      </c>
    </row>
    <row r="262" spans="1:12" ht="45" x14ac:dyDescent="0.2">
      <c r="A262" s="40">
        <v>2101</v>
      </c>
      <c r="B262" s="40"/>
      <c r="C262" s="35" t="s">
        <v>552</v>
      </c>
      <c r="D262" s="35" t="s">
        <v>553</v>
      </c>
      <c r="E262" s="35"/>
      <c r="F262" s="39">
        <f>SUM(F263:F264)</f>
        <v>93953700</v>
      </c>
      <c r="G262" s="39">
        <f t="shared" ref="G262:H262" si="13">SUM(G263:G264)</f>
        <v>0</v>
      </c>
      <c r="H262" s="39">
        <f t="shared" si="13"/>
        <v>93953700</v>
      </c>
      <c r="L262" s="87"/>
    </row>
    <row r="263" spans="1:12" ht="22.5" x14ac:dyDescent="0.2">
      <c r="A263" s="11"/>
      <c r="B263" s="11" t="s">
        <v>425</v>
      </c>
      <c r="C263" s="2" t="str">
        <f>'РЕБ 2, мај 19'!I237</f>
        <v>Функционисање Скупштине</v>
      </c>
      <c r="D263" s="2" t="s">
        <v>554</v>
      </c>
      <c r="E263" s="2" t="s">
        <v>555</v>
      </c>
      <c r="F263" s="4">
        <f>'РЕБ 2, мај 19'!J253+'РЕБ 2, мај 19'!J266</f>
        <v>28860800</v>
      </c>
      <c r="G263" s="4">
        <f>'РЕБ 2, мај 19'!K253+'РЕБ 2, мај 19'!K266</f>
        <v>0</v>
      </c>
      <c r="H263" s="4">
        <f>'РЕБ 2, мај 19'!L253+'РЕБ 2, мај 19'!L266</f>
        <v>28860800</v>
      </c>
    </row>
    <row r="264" spans="1:12" ht="22.5" x14ac:dyDescent="0.2">
      <c r="A264" s="11"/>
      <c r="B264" s="11" t="s">
        <v>431</v>
      </c>
      <c r="C264" s="2" t="str">
        <f>'РЕБ 2, мај 19'!I297</f>
        <v>Функционисање извршних органа</v>
      </c>
      <c r="D264" s="2" t="s">
        <v>556</v>
      </c>
      <c r="E264" s="2" t="s">
        <v>555</v>
      </c>
      <c r="F264" s="4">
        <f>'РЕБ 2, мај 19'!J313+'РЕБ 2, мај 19'!J328</f>
        <v>65092900</v>
      </c>
      <c r="G264" s="4">
        <f>'РЕБ 2, мај 19'!K313+'РЕБ 2, мај 19'!K328</f>
        <v>0</v>
      </c>
      <c r="H264" s="4">
        <f>'РЕБ 2, мај 19'!L313+'РЕБ 2, мај 19'!L328</f>
        <v>65092900</v>
      </c>
    </row>
    <row r="265" spans="1:12" ht="38.25" customHeight="1" x14ac:dyDescent="0.2">
      <c r="A265" s="910" t="s">
        <v>557</v>
      </c>
      <c r="B265" s="63"/>
      <c r="C265" s="35" t="s">
        <v>630</v>
      </c>
      <c r="D265" s="105"/>
      <c r="E265" s="105"/>
      <c r="F265" s="39">
        <f>SUM(F266:F278)</f>
        <v>114476304</v>
      </c>
      <c r="G265" s="39">
        <f t="shared" ref="G265:H265" si="14">SUM(G266:G278)</f>
        <v>0</v>
      </c>
      <c r="H265" s="39">
        <f t="shared" si="14"/>
        <v>114476304</v>
      </c>
    </row>
    <row r="266" spans="1:12" ht="45" x14ac:dyDescent="0.2">
      <c r="A266" s="11"/>
      <c r="B266" s="11" t="s">
        <v>701</v>
      </c>
      <c r="C266" s="75" t="str">
        <f>'РЕБ 2, мај 19'!I2217</f>
        <v>Унапређење и побољшање енергетске ефикасности и употреба обновљивих извора енергије</v>
      </c>
      <c r="D266" s="2" t="s">
        <v>891</v>
      </c>
      <c r="E266" s="2" t="s">
        <v>892</v>
      </c>
      <c r="F266" s="4">
        <f>'РЕБ 2, мај 19'!J2223</f>
        <v>73900000</v>
      </c>
      <c r="G266" s="4">
        <f>'РЕБ 2, мај 19'!K2223</f>
        <v>0</v>
      </c>
      <c r="H266" s="4">
        <f>'РЕБ 2, мај 19'!L2223</f>
        <v>73900000</v>
      </c>
    </row>
    <row r="267" spans="1:12" ht="113.25" customHeight="1" x14ac:dyDescent="0.2">
      <c r="A267" s="11"/>
      <c r="B267" s="11"/>
      <c r="C267" s="75" t="str">
        <f>'РЕБ 2, мај 19'!I2228</f>
        <v>ПРОЈЕКАТ 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v>
      </c>
      <c r="D267" s="2"/>
      <c r="E267" s="2"/>
      <c r="F267" s="4">
        <f>'РЕБ 2, мај 19'!J2232</f>
        <v>600000</v>
      </c>
      <c r="G267" s="4">
        <f>'РЕБ 2, мај 19'!K2232</f>
        <v>0</v>
      </c>
      <c r="H267" s="4">
        <f>'РЕБ 2, мај 19'!L2232</f>
        <v>600000</v>
      </c>
    </row>
    <row r="268" spans="1:12" ht="51" customHeight="1" x14ac:dyDescent="0.2">
      <c r="A268" s="11"/>
      <c r="B268" s="11"/>
      <c r="C268" s="75" t="str">
        <f>'РЕБ 2, мај 19'!I2236</f>
        <v>ПРОЈЕКАТ "Елаборат енергетске ефикасности зграде Центра за социјални рад "Дунав" у Инђији</v>
      </c>
      <c r="D268" s="2"/>
      <c r="E268" s="2"/>
      <c r="F268" s="4">
        <f>'РЕБ 2, мај 19'!J2240</f>
        <v>108000</v>
      </c>
      <c r="G268" s="4">
        <f>'РЕБ 2, мај 19'!K2240</f>
        <v>0</v>
      </c>
      <c r="H268" s="4">
        <f>'РЕБ 2, мај 19'!L2240</f>
        <v>108000</v>
      </c>
    </row>
    <row r="269" spans="1:12" ht="53.25" customHeight="1" x14ac:dyDescent="0.2">
      <c r="A269" s="11"/>
      <c r="B269" s="11"/>
      <c r="C269" s="75" t="str">
        <f>'РЕБ 2, мај 19'!I2242</f>
        <v xml:space="preserve">ПРОЈЕКАТ  - Изградња продужетака мреже јавне расвете у улицама на територији општине Инђија </v>
      </c>
      <c r="D269" s="2"/>
      <c r="E269" s="2"/>
      <c r="F269" s="4">
        <f>'РЕБ 2, мај 19'!J2245</f>
        <v>2040000</v>
      </c>
      <c r="G269" s="4">
        <f>'РЕБ 2, мај 19'!K2245</f>
        <v>0</v>
      </c>
      <c r="H269" s="4">
        <f>'РЕБ 2, мај 19'!L2245</f>
        <v>2040000</v>
      </c>
    </row>
    <row r="270" spans="1:12" ht="57" customHeight="1" x14ac:dyDescent="0.2">
      <c r="A270" s="11"/>
      <c r="B270" s="11"/>
      <c r="C270" s="75" t="str">
        <f>'РЕБ 2, мај 19'!I2247</f>
        <v>ПРОЈЕКАТ - Санација јавног осветљења у насељеном месту Јарковци у општини Инђија</v>
      </c>
      <c r="D270" s="2"/>
      <c r="E270" s="2"/>
      <c r="F270" s="4">
        <f>'РЕБ 2, мај 19'!J2251</f>
        <v>3059200</v>
      </c>
      <c r="G270" s="4">
        <f>'РЕБ 2, мај 19'!K2251</f>
        <v>0</v>
      </c>
      <c r="H270" s="4">
        <f>'РЕБ 2, мај 19'!L2251</f>
        <v>3059200</v>
      </c>
    </row>
    <row r="271" spans="1:12" ht="68.25" customHeight="1" x14ac:dyDescent="0.2">
      <c r="A271" s="11"/>
      <c r="B271" s="11"/>
      <c r="C271" s="75" t="str">
        <f>'РЕБ 2, мај 19'!I2253</f>
        <v>ПРОЈЕКАТ - Израда пројектне документације за изградњу јавне расвете у индустријској зони  Инђија - Локација 15</v>
      </c>
      <c r="D271" s="2"/>
      <c r="E271" s="2"/>
      <c r="F271" s="4">
        <f>'РЕБ 2, мај 19'!J2257</f>
        <v>1000000</v>
      </c>
      <c r="G271" s="4">
        <f>'РЕБ 2, мај 19'!K2257</f>
        <v>0</v>
      </c>
      <c r="H271" s="4">
        <f>'РЕБ 2, мај 19'!L2257</f>
        <v>1000000</v>
      </c>
    </row>
    <row r="272" spans="1:12" ht="42.75" customHeight="1" x14ac:dyDescent="0.2">
      <c r="A272" s="11"/>
      <c r="B272" s="11"/>
      <c r="C272" s="75" t="str">
        <f>'РЕБ 2, мај 19'!I2259</f>
        <v>ПРОЈЕКАТ - Изградња јавне расвете дуж саобраћајнице С2 и С3 (део) - Локација 15</v>
      </c>
      <c r="D272" s="2"/>
      <c r="E272" s="2"/>
      <c r="F272" s="4">
        <f>'РЕБ 2, мај 19'!J2263</f>
        <v>23435104</v>
      </c>
      <c r="G272" s="4">
        <f>'РЕБ 2, мај 19'!K2263</f>
        <v>0</v>
      </c>
      <c r="H272" s="4">
        <f>'РЕБ 2, мај 19'!L2263</f>
        <v>23435104</v>
      </c>
    </row>
    <row r="273" spans="1:12" ht="52.5" customHeight="1" x14ac:dyDescent="0.2">
      <c r="A273" s="11"/>
      <c r="B273" s="11"/>
      <c r="C273" s="75" t="str">
        <f>'РЕБ 2, мај 19'!I2266</f>
        <v>ПРОЈЕКАТ - Израда пројектне документације за изградњу јавне расвете у индустријској зони  Бешка</v>
      </c>
      <c r="D273" s="2"/>
      <c r="E273" s="2"/>
      <c r="F273" s="4">
        <f>'РЕБ 2, мај 19'!J2269</f>
        <v>500000</v>
      </c>
      <c r="G273" s="4">
        <f>'РЕБ 2, мај 19'!K2269</f>
        <v>0</v>
      </c>
      <c r="H273" s="4">
        <f>'РЕБ 2, мај 19'!L2269</f>
        <v>500000</v>
      </c>
    </row>
    <row r="274" spans="1:12" ht="56.25" customHeight="1" x14ac:dyDescent="0.2">
      <c r="A274" s="11"/>
      <c r="B274" s="11"/>
      <c r="C274" s="75" t="str">
        <f>'РЕБ 2, мај 19'!I2276</f>
        <v>ПРОЈЕКАТ - Израда пројектне документације за осветљење пешачких прелаза у зони школа</v>
      </c>
      <c r="D274" s="2"/>
      <c r="E274" s="2"/>
      <c r="F274" s="4">
        <f>'РЕБ 2, мај 19'!J2279</f>
        <v>500000</v>
      </c>
      <c r="G274" s="4">
        <f>'РЕБ 2, мај 19'!K2279</f>
        <v>0</v>
      </c>
      <c r="H274" s="4">
        <f>'РЕБ 2, мај 19'!L2279</f>
        <v>500000</v>
      </c>
    </row>
    <row r="275" spans="1:12" ht="56.25" customHeight="1" x14ac:dyDescent="0.2">
      <c r="A275" s="11"/>
      <c r="B275" s="11"/>
      <c r="C275" s="75" t="str">
        <f>'РЕБ 2, мај 19'!I2281</f>
        <v>ПРОЈЕКАТ - Изградња стубне трафо станице (СТС) Каменова  улица</v>
      </c>
      <c r="D275" s="2"/>
      <c r="E275" s="2"/>
      <c r="F275" s="4">
        <f>'РЕБ 2, мај 19'!J2284</f>
        <v>4284000</v>
      </c>
      <c r="G275" s="4">
        <f>'РЕБ 2, мај 19'!K2284</f>
        <v>0</v>
      </c>
      <c r="H275" s="4">
        <f>'РЕБ 2, мај 19'!L2284</f>
        <v>4284000</v>
      </c>
    </row>
    <row r="276" spans="1:12" ht="43.5" customHeight="1" x14ac:dyDescent="0.2">
      <c r="A276" s="11"/>
      <c r="B276" s="11"/>
      <c r="C276" s="75" t="str">
        <f>'РЕБ 2, мај 19'!I2286</f>
        <v>ПРОЈЕКАТ - Изградња стубне трафо станице (СТС) Новосадска</v>
      </c>
      <c r="D276" s="2"/>
      <c r="E276" s="2"/>
      <c r="F276" s="4">
        <f>'РЕБ 2, мај 19'!J2289</f>
        <v>3550000</v>
      </c>
      <c r="G276" s="4">
        <f>'РЕБ 2, мај 19'!K2289</f>
        <v>0</v>
      </c>
      <c r="H276" s="4">
        <f>'РЕБ 2, мај 19'!L2289</f>
        <v>3550000</v>
      </c>
    </row>
    <row r="277" spans="1:12" ht="43.5" customHeight="1" x14ac:dyDescent="0.2">
      <c r="A277" s="11"/>
      <c r="B277" s="85"/>
      <c r="C277" s="6" t="str">
        <f>'РЕБ 2, мај 19'!I2271</f>
        <v>ПРОЈЕКАТ - Изградњa јавне расвете у парку Данице Јовановић у  Бешки</v>
      </c>
      <c r="D277" s="2"/>
      <c r="E277" s="2"/>
      <c r="F277" s="4">
        <f>'РЕБ 2, мај 19'!J2274</f>
        <v>1000000</v>
      </c>
      <c r="G277" s="4">
        <f>'РЕБ 2, мај 19'!K2274</f>
        <v>0</v>
      </c>
      <c r="H277" s="4">
        <f>'РЕБ 2, мај 19'!L2274</f>
        <v>1000000</v>
      </c>
    </row>
    <row r="278" spans="1:12" ht="61.5" customHeight="1" x14ac:dyDescent="0.2">
      <c r="A278" s="11"/>
      <c r="B278" s="11"/>
      <c r="C278" s="874" t="str">
        <f>'РЕБ 2, мај 19'!I2291</f>
        <v>ПРОЈЕКАТ - Учешће у изградњи средњенапонског далековода од Н. Сланкамена до Сурдука</v>
      </c>
      <c r="D278" s="2"/>
      <c r="E278" s="2"/>
      <c r="F278" s="4">
        <f>'РЕБ 2, мај 19'!J2294</f>
        <v>500000</v>
      </c>
      <c r="G278" s="4">
        <f>'РЕБ 2, мај 19'!K2294</f>
        <v>0</v>
      </c>
      <c r="H278" s="4">
        <f>'РЕБ 2, мај 19'!L2294</f>
        <v>500000</v>
      </c>
    </row>
    <row r="280" spans="1:12" ht="22.5" x14ac:dyDescent="0.2">
      <c r="A280" s="33"/>
      <c r="B280" s="33"/>
      <c r="C280" s="33" t="s">
        <v>408</v>
      </c>
      <c r="D280" s="33"/>
      <c r="E280" s="33"/>
      <c r="F280" s="41">
        <f>SUM(F7+F11+F48+F66+F70+F80+F93+F174+F181+F184+F187+F199+F205+F216+F237+F262+F265)</f>
        <v>5895500000</v>
      </c>
      <c r="G280" s="41">
        <f>SUM(G7+G11+G48+G66+G70+G80+G93+G174+G181+G184+G187+G199+G205+G216+G237+G262+G265)</f>
        <v>26698050</v>
      </c>
      <c r="H280" s="41">
        <f>SUM(H7+H11+H48+H66+H70+H80+H93+H174+H181+H184+H187+H199+H205+H216+H237+H262+H265)</f>
        <v>5922198050</v>
      </c>
      <c r="L280" s="87"/>
    </row>
    <row r="282" spans="1:12" x14ac:dyDescent="0.2">
      <c r="E282" s="106"/>
      <c r="F282" s="107"/>
      <c r="G282" s="107"/>
      <c r="H282" s="107"/>
    </row>
    <row r="283" spans="1:12" x14ac:dyDescent="0.2">
      <c r="E283" s="106"/>
      <c r="F283" s="107"/>
      <c r="G283" s="107"/>
      <c r="H283" s="107"/>
    </row>
    <row r="284" spans="1:12" x14ac:dyDescent="0.2">
      <c r="E284" s="108"/>
      <c r="F284" s="107"/>
      <c r="G284" s="107"/>
      <c r="H284" s="107"/>
    </row>
  </sheetData>
  <mergeCells count="8">
    <mergeCell ref="A2:H2"/>
    <mergeCell ref="G4:G5"/>
    <mergeCell ref="H4:H5"/>
    <mergeCell ref="A4:B4"/>
    <mergeCell ref="C4:C5"/>
    <mergeCell ref="D4:D5"/>
    <mergeCell ref="E4:E5"/>
    <mergeCell ref="F4:F5"/>
  </mergeCells>
  <pageMargins left="0.11811023622047245" right="0.11811023622047245" top="0.74803149606299213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РЕБ 2, мај 19</vt:lpstr>
      <vt:lpstr>Посебан део- циљеви и индикатор</vt:lpstr>
    </vt:vector>
  </TitlesOfParts>
  <Company>OU Indjija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Nikolic</dc:creator>
  <cp:lastModifiedBy>Nena Kantar</cp:lastModifiedBy>
  <cp:lastPrinted>2019-06-14T06:17:34Z</cp:lastPrinted>
  <dcterms:created xsi:type="dcterms:W3CDTF">2012-11-06T07:08:44Z</dcterms:created>
  <dcterms:modified xsi:type="dcterms:W3CDTF">2019-06-14T07:53:53Z</dcterms:modified>
</cp:coreProperties>
</file>