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020"/>
  </bookViews>
  <sheets>
    <sheet name="Budzet 2018" sheetId="1" r:id="rId1"/>
    <sheet name="Посебан део- циљеви и индикатор" sheetId="3" r:id="rId2"/>
  </sheets>
  <definedNames>
    <definedName name="Programi">OFFSET(#REF!,0,0,COUNTA(#REF!),1)</definedName>
  </definedNames>
  <calcPr calcId="145621"/>
</workbook>
</file>

<file path=xl/calcChain.xml><?xml version="1.0" encoding="utf-8"?>
<calcChain xmlns="http://schemas.openxmlformats.org/spreadsheetml/2006/main">
  <c r="E243" i="1" l="1"/>
  <c r="J248" i="1"/>
  <c r="K248" i="1"/>
  <c r="I248" i="1"/>
  <c r="J186" i="1"/>
  <c r="I86" i="1"/>
  <c r="I56" i="1"/>
  <c r="I57" i="1"/>
  <c r="C200" i="3"/>
  <c r="C186" i="3"/>
  <c r="G71" i="3"/>
  <c r="C59" i="3"/>
  <c r="C11" i="3" l="1"/>
  <c r="B8" i="3"/>
  <c r="C228" i="3"/>
  <c r="G228" i="3"/>
  <c r="I558" i="1" l="1"/>
  <c r="K43" i="1"/>
  <c r="K60" i="1"/>
  <c r="I42" i="1"/>
  <c r="I2249" i="1" l="1"/>
  <c r="I2283" i="1"/>
  <c r="I846" i="1"/>
  <c r="I845" i="1"/>
  <c r="K832" i="1"/>
  <c r="K833" i="1"/>
  <c r="J828" i="1"/>
  <c r="I828" i="1"/>
  <c r="I812" i="1"/>
  <c r="I1304" i="1" l="1"/>
  <c r="K1304" i="1" s="1"/>
  <c r="K1303" i="1"/>
  <c r="I1166" i="1"/>
  <c r="I1169" i="1" s="1"/>
  <c r="I1170" i="1" s="1"/>
  <c r="F186" i="3" s="1"/>
  <c r="H186" i="3" s="1"/>
  <c r="K1167" i="1"/>
  <c r="K1168" i="1"/>
  <c r="K1129" i="1"/>
  <c r="I445" i="1"/>
  <c r="K444" i="1"/>
  <c r="K445" i="1" s="1"/>
  <c r="K994" i="1"/>
  <c r="K995" i="1"/>
  <c r="K997" i="1"/>
  <c r="I993" i="1"/>
  <c r="I996" i="1" s="1"/>
  <c r="K996" i="1" s="1"/>
  <c r="I1962" i="1"/>
  <c r="I1963" i="1" s="1"/>
  <c r="K1961" i="1"/>
  <c r="K845" i="1"/>
  <c r="I553" i="1"/>
  <c r="I552" i="1"/>
  <c r="I655" i="1"/>
  <c r="I654" i="1"/>
  <c r="I566" i="1"/>
  <c r="I320" i="1"/>
  <c r="I311" i="1"/>
  <c r="I310" i="1"/>
  <c r="I277" i="1"/>
  <c r="I446" i="1" l="1"/>
  <c r="F59" i="3"/>
  <c r="H59" i="3" s="1"/>
  <c r="K1963" i="1"/>
  <c r="F200" i="3"/>
  <c r="H200" i="3" s="1"/>
  <c r="K1166" i="1"/>
  <c r="K1169" i="1"/>
  <c r="K1170" i="1" s="1"/>
  <c r="K993" i="1"/>
  <c r="K446" i="1"/>
  <c r="K447" i="1" s="1"/>
  <c r="I447" i="1"/>
  <c r="K1962" i="1"/>
  <c r="K1481" i="1"/>
  <c r="K2294" i="1" l="1"/>
  <c r="I2293" i="1"/>
  <c r="I2295" i="1" s="1"/>
  <c r="K2295" i="1" s="1"/>
  <c r="K2094" i="1"/>
  <c r="K1856" i="1"/>
  <c r="K846" i="1"/>
  <c r="K2047" i="1"/>
  <c r="I2045" i="1"/>
  <c r="K2004" i="1"/>
  <c r="K1993" i="1"/>
  <c r="I2166" i="1"/>
  <c r="K2167" i="1"/>
  <c r="K2082" i="1"/>
  <c r="K774" i="1"/>
  <c r="K1518" i="1"/>
  <c r="K1209" i="1"/>
  <c r="K579" i="1"/>
  <c r="I2241" i="1" l="1"/>
  <c r="K2241" i="1" s="1"/>
  <c r="I2240" i="1"/>
  <c r="K2236" i="1"/>
  <c r="K2347" i="1"/>
  <c r="K2334" i="1"/>
  <c r="K2282" i="1"/>
  <c r="I2281" i="1"/>
  <c r="I2351" i="1"/>
  <c r="K2351" i="1" s="1"/>
  <c r="G213" i="3" l="1"/>
  <c r="C213" i="3"/>
  <c r="I132" i="1" l="1"/>
  <c r="I1419" i="1"/>
  <c r="K1499" i="1"/>
  <c r="I1589" i="1"/>
  <c r="K594" i="1"/>
  <c r="K595" i="1" s="1"/>
  <c r="H213" i="3" s="1"/>
  <c r="K592" i="1"/>
  <c r="I595" i="1" l="1"/>
  <c r="F213" i="3" s="1"/>
  <c r="G209" i="3"/>
  <c r="C209" i="3"/>
  <c r="G201" i="3"/>
  <c r="C201" i="3"/>
  <c r="G196" i="3"/>
  <c r="C196" i="3"/>
  <c r="G189" i="3"/>
  <c r="G135" i="3"/>
  <c r="C135" i="3"/>
  <c r="G90" i="3"/>
  <c r="C90" i="3"/>
  <c r="G67" i="3"/>
  <c r="C67" i="3"/>
  <c r="G43" i="3"/>
  <c r="F43" i="3"/>
  <c r="C43" i="3"/>
  <c r="K2003" i="1"/>
  <c r="H9" i="3" l="1"/>
  <c r="K1947" i="1" l="1"/>
  <c r="K1934" i="1"/>
  <c r="I575" i="1" l="1"/>
  <c r="K1813" i="1" l="1"/>
  <c r="I1207" i="1" l="1"/>
  <c r="K779" i="1"/>
  <c r="I780" i="1"/>
  <c r="I784" i="1" l="1"/>
  <c r="I782" i="1" s="1"/>
  <c r="F90" i="3"/>
  <c r="K780" i="1"/>
  <c r="H90" i="3" s="1"/>
  <c r="I1799" i="1"/>
  <c r="F135" i="3" s="1"/>
  <c r="I1788" i="1"/>
  <c r="I1935" i="1"/>
  <c r="K1932" i="1"/>
  <c r="K1931" i="1"/>
  <c r="K1930" i="1"/>
  <c r="I1793" i="1"/>
  <c r="K1791" i="1"/>
  <c r="I1762" i="1"/>
  <c r="K1760" i="1"/>
  <c r="I1751" i="1"/>
  <c r="K1749" i="1"/>
  <c r="I1706" i="1"/>
  <c r="K1704" i="1"/>
  <c r="I1506" i="1"/>
  <c r="K1506" i="1" s="1"/>
  <c r="K1505" i="1"/>
  <c r="K1503" i="1"/>
  <c r="H43" i="3" s="1"/>
  <c r="I1500" i="1"/>
  <c r="K1968" i="1"/>
  <c r="I1969" i="1"/>
  <c r="K1969" i="1" s="1"/>
  <c r="K1967" i="1"/>
  <c r="I1892" i="1"/>
  <c r="I622" i="1"/>
  <c r="K621" i="1"/>
  <c r="I613" i="1" l="1"/>
  <c r="F227" i="3"/>
  <c r="H227" i="3" s="1"/>
  <c r="I623" i="1"/>
  <c r="K1890" i="1"/>
  <c r="K1892" i="1"/>
  <c r="H189" i="3" s="1"/>
  <c r="F189" i="3"/>
  <c r="I1933" i="1"/>
  <c r="F196" i="3"/>
  <c r="K1935" i="1"/>
  <c r="H196" i="3" s="1"/>
  <c r="I1504" i="1"/>
  <c r="K1504" i="1" s="1"/>
  <c r="I1970" i="1"/>
  <c r="I1971" i="1" s="1"/>
  <c r="F201" i="3" s="1"/>
  <c r="K1970" i="1" l="1"/>
  <c r="K1971" i="1" s="1"/>
  <c r="H201" i="3" s="1"/>
  <c r="K1998" i="1" l="1"/>
  <c r="I1999" i="1"/>
  <c r="I2000" i="1" s="1"/>
  <c r="K1997" i="1"/>
  <c r="K1999" i="1" l="1"/>
  <c r="K2000" i="1" s="1"/>
  <c r="I1461" i="1" l="1"/>
  <c r="I1477" i="1"/>
  <c r="I1483" i="1"/>
  <c r="I1564" i="1"/>
  <c r="K1459" i="1"/>
  <c r="I1455" i="1"/>
  <c r="K1453" i="1"/>
  <c r="I1406" i="1"/>
  <c r="I1401" i="1"/>
  <c r="I1926" i="1" l="1"/>
  <c r="I1768" i="1"/>
  <c r="I1653" i="1"/>
  <c r="I1519" i="1"/>
  <c r="I1516" i="1" s="1"/>
  <c r="I1356" i="1"/>
  <c r="I1357" i="1" s="1"/>
  <c r="I1347" i="1" s="1"/>
  <c r="K910" i="1" l="1"/>
  <c r="I911" i="1"/>
  <c r="I912" i="1" s="1"/>
  <c r="K908" i="1"/>
  <c r="K1923" i="1"/>
  <c r="K783" i="1"/>
  <c r="K778" i="1" l="1"/>
  <c r="K782" i="1"/>
  <c r="K784" i="1" s="1"/>
  <c r="I2257" i="1" l="1"/>
  <c r="K2256" i="1"/>
  <c r="K2255" i="1"/>
  <c r="K1799" i="1"/>
  <c r="H135" i="3" s="1"/>
  <c r="K1798" i="1"/>
  <c r="K1797" i="1"/>
  <c r="K1207" i="1"/>
  <c r="K54" i="1"/>
  <c r="K82" i="1"/>
  <c r="I81" i="1"/>
  <c r="K81" i="1" s="1"/>
  <c r="K514" i="1"/>
  <c r="I2160" i="1"/>
  <c r="K2160" i="1" s="1"/>
  <c r="I2161" i="1"/>
  <c r="K2159" i="1"/>
  <c r="K1514" i="1"/>
  <c r="K2134" i="1"/>
  <c r="K64" i="1"/>
  <c r="I609" i="1"/>
  <c r="K608" i="1"/>
  <c r="K607" i="1"/>
  <c r="K609" i="1" l="1"/>
  <c r="H209" i="3" s="1"/>
  <c r="F209" i="3"/>
  <c r="I2258" i="1"/>
  <c r="K2258" i="1" s="1"/>
  <c r="K2259" i="1" s="1"/>
  <c r="F67" i="3"/>
  <c r="K2257" i="1"/>
  <c r="H67" i="3" s="1"/>
  <c r="I1800" i="1"/>
  <c r="K1800" i="1" s="1"/>
  <c r="I610" i="1"/>
  <c r="I611" i="1" s="1"/>
  <c r="K611" i="1" s="1"/>
  <c r="I2259" i="1" l="1"/>
  <c r="K610" i="1"/>
  <c r="I96" i="1"/>
  <c r="J96" i="1"/>
  <c r="I97" i="1"/>
  <c r="J97" i="1"/>
  <c r="I98" i="1"/>
  <c r="J98" i="1"/>
  <c r="I99" i="1"/>
  <c r="J99" i="1"/>
  <c r="I100" i="1"/>
  <c r="J100" i="1"/>
  <c r="I101" i="1"/>
  <c r="J101" i="1"/>
  <c r="J103" i="1"/>
  <c r="I104" i="1"/>
  <c r="J104" i="1"/>
  <c r="I105" i="1"/>
  <c r="J105" i="1"/>
  <c r="J106" i="1"/>
  <c r="I107" i="1"/>
  <c r="J107" i="1"/>
  <c r="I108" i="1"/>
  <c r="J108" i="1"/>
  <c r="I110" i="1"/>
  <c r="I109" i="1" s="1"/>
  <c r="J110" i="1"/>
  <c r="J109" i="1" s="1"/>
  <c r="I112" i="1"/>
  <c r="I111" i="1" s="1"/>
  <c r="J112" i="1"/>
  <c r="I113" i="1"/>
  <c r="J113" i="1"/>
  <c r="I115" i="1"/>
  <c r="I114" i="1" s="1"/>
  <c r="J115" i="1"/>
  <c r="I116" i="1"/>
  <c r="J116" i="1"/>
  <c r="J118" i="1"/>
  <c r="I119" i="1"/>
  <c r="J119" i="1"/>
  <c r="I120" i="1"/>
  <c r="J120" i="1"/>
  <c r="I122" i="1"/>
  <c r="I121" i="1" s="1"/>
  <c r="K121" i="1" s="1"/>
  <c r="J172" i="1" s="1"/>
  <c r="J122" i="1"/>
  <c r="J121" i="1" s="1"/>
  <c r="I124" i="1"/>
  <c r="J124" i="1"/>
  <c r="I125" i="1"/>
  <c r="J125" i="1"/>
  <c r="I126" i="1"/>
  <c r="J126" i="1"/>
  <c r="I127" i="1"/>
  <c r="J127" i="1"/>
  <c r="I129" i="1"/>
  <c r="I128" i="1" s="1"/>
  <c r="J129" i="1"/>
  <c r="J128" i="1" s="1"/>
  <c r="J131" i="1"/>
  <c r="J130" i="1" s="1"/>
  <c r="J132" i="1"/>
  <c r="I133" i="1"/>
  <c r="J133" i="1"/>
  <c r="I134" i="1"/>
  <c r="J134" i="1"/>
  <c r="I136" i="1"/>
  <c r="I135" i="1" s="1"/>
  <c r="J136" i="1"/>
  <c r="J135" i="1" s="1"/>
  <c r="I138" i="1"/>
  <c r="I137" i="1" s="1"/>
  <c r="J138" i="1"/>
  <c r="J137" i="1" s="1"/>
  <c r="I140" i="1"/>
  <c r="I139" i="1" s="1"/>
  <c r="J140" i="1"/>
  <c r="J139" i="1" s="1"/>
  <c r="I142" i="1"/>
  <c r="I141" i="1" s="1"/>
  <c r="J142" i="1"/>
  <c r="J141" i="1" s="1"/>
  <c r="K109" i="1" l="1"/>
  <c r="J95" i="1"/>
  <c r="J117" i="1"/>
  <c r="K111" i="1"/>
  <c r="J170" i="1" s="1"/>
  <c r="J102" i="1"/>
  <c r="I95" i="1"/>
  <c r="K128" i="1"/>
  <c r="I123" i="1"/>
  <c r="K123" i="1" s="1"/>
  <c r="J173" i="1" s="1"/>
  <c r="J111" i="1"/>
  <c r="J114" i="1"/>
  <c r="J123" i="1"/>
  <c r="K95" i="1" l="1"/>
  <c r="J143" i="1"/>
  <c r="G152" i="3"/>
  <c r="C152" i="3"/>
  <c r="G138" i="3"/>
  <c r="C138" i="3"/>
  <c r="G102" i="3"/>
  <c r="C102" i="3"/>
  <c r="G99" i="3"/>
  <c r="C99" i="3"/>
  <c r="G13" i="3"/>
  <c r="C13" i="3"/>
  <c r="B13" i="3"/>
  <c r="G54" i="3"/>
  <c r="G49" i="3"/>
  <c r="C49" i="3"/>
  <c r="G21" i="3"/>
  <c r="C21" i="3"/>
  <c r="J168" i="1" l="1"/>
  <c r="I103" i="1"/>
  <c r="I2215" i="1"/>
  <c r="K620" i="1"/>
  <c r="K622" i="1"/>
  <c r="I2301" i="1"/>
  <c r="I2302" i="1" s="1"/>
  <c r="F13" i="3" s="1"/>
  <c r="K2300" i="1"/>
  <c r="K2213" i="1"/>
  <c r="I1539" i="1"/>
  <c r="K1539" i="1" s="1"/>
  <c r="I1540" i="1"/>
  <c r="F49" i="3" s="1"/>
  <c r="K1538" i="1"/>
  <c r="K1540" i="1" s="1"/>
  <c r="H49" i="3" s="1"/>
  <c r="K2212" i="1"/>
  <c r="K1818" i="1"/>
  <c r="K1820" i="1"/>
  <c r="I1821" i="1"/>
  <c r="I79" i="1"/>
  <c r="K79" i="1" s="1"/>
  <c r="K80" i="1"/>
  <c r="K488" i="1"/>
  <c r="I902" i="1"/>
  <c r="K902" i="1" s="1"/>
  <c r="K900" i="1"/>
  <c r="K901" i="1"/>
  <c r="I1598" i="1"/>
  <c r="I1599" i="1" s="1"/>
  <c r="F99" i="3" s="1"/>
  <c r="K1597" i="1"/>
  <c r="I1613" i="1"/>
  <c r="I1614" i="1" s="1"/>
  <c r="K1612" i="1"/>
  <c r="I1385" i="1"/>
  <c r="I1386" i="1" s="1"/>
  <c r="F21" i="3" s="1"/>
  <c r="K1384" i="1"/>
  <c r="K1383" i="1"/>
  <c r="K1817" i="1"/>
  <c r="K1614" i="1" l="1"/>
  <c r="H102" i="3" s="1"/>
  <c r="F102" i="3"/>
  <c r="K1819" i="1"/>
  <c r="F138" i="3"/>
  <c r="K1821" i="1"/>
  <c r="H138" i="3" s="1"/>
  <c r="K2301" i="1"/>
  <c r="K2302" i="1" s="1"/>
  <c r="H13" i="3" s="1"/>
  <c r="I903" i="1"/>
  <c r="K1598" i="1"/>
  <c r="K1599" i="1" s="1"/>
  <c r="H99" i="3" s="1"/>
  <c r="K1613" i="1"/>
  <c r="K1385" i="1"/>
  <c r="K1386" i="1" s="1"/>
  <c r="H21" i="3" s="1"/>
  <c r="F107" i="3"/>
  <c r="H107" i="3" s="1"/>
  <c r="F94" i="3"/>
  <c r="H94" i="3" s="1"/>
  <c r="K903" i="1" l="1"/>
  <c r="H152" i="3" s="1"/>
  <c r="F152" i="3"/>
  <c r="I2066" i="1"/>
  <c r="K2065" i="1"/>
  <c r="I2064" i="1"/>
  <c r="K2064" i="1" s="1"/>
  <c r="K2063" i="1"/>
  <c r="I641" i="1"/>
  <c r="K641" i="1" s="1"/>
  <c r="K640" i="1"/>
  <c r="K639" i="1"/>
  <c r="K638" i="1"/>
  <c r="K2066" i="1" l="1"/>
  <c r="F54" i="3"/>
  <c r="H54" i="3" s="1"/>
  <c r="I642" i="1"/>
  <c r="I643" i="1" s="1"/>
  <c r="K1620" i="1"/>
  <c r="I1621" i="1"/>
  <c r="I1619" i="1" s="1"/>
  <c r="K1733" i="1"/>
  <c r="K1735" i="1"/>
  <c r="K1732" i="1"/>
  <c r="I1736" i="1"/>
  <c r="K643" i="1" l="1"/>
  <c r="F17" i="3"/>
  <c r="H17" i="3" s="1"/>
  <c r="I1734" i="1"/>
  <c r="K1734" i="1" s="1"/>
  <c r="F124" i="3"/>
  <c r="H124" i="3" s="1"/>
  <c r="F103" i="3"/>
  <c r="H103" i="3" s="1"/>
  <c r="K642" i="1"/>
  <c r="K88" i="1" l="1"/>
  <c r="I87" i="1"/>
  <c r="K87" i="1" s="1"/>
  <c r="I1038" i="1"/>
  <c r="I1043" i="1" s="1"/>
  <c r="I1040" i="1" s="1"/>
  <c r="J1114" i="1"/>
  <c r="J1113" i="1"/>
  <c r="J1112" i="1"/>
  <c r="J1088" i="1"/>
  <c r="J812" i="1"/>
  <c r="I1551" i="1"/>
  <c r="I1552" i="1"/>
  <c r="K1550" i="1"/>
  <c r="K1549" i="1"/>
  <c r="I1647" i="1"/>
  <c r="I1648" i="1" s="1"/>
  <c r="K1645" i="1"/>
  <c r="K1646" i="1"/>
  <c r="I1659" i="1"/>
  <c r="K1659" i="1" s="1"/>
  <c r="K1658" i="1"/>
  <c r="K1657" i="1"/>
  <c r="K1736" i="1"/>
  <c r="K1621" i="1"/>
  <c r="K1617" i="1"/>
  <c r="K1618" i="1"/>
  <c r="I1806" i="1"/>
  <c r="K1806" i="1" s="1"/>
  <c r="I1805" i="1"/>
  <c r="I1825" i="1"/>
  <c r="I1826" i="1"/>
  <c r="F139" i="3" s="1"/>
  <c r="H139" i="3" s="1"/>
  <c r="K1824" i="1"/>
  <c r="J815" i="1" l="1"/>
  <c r="K1648" i="1"/>
  <c r="F108" i="3"/>
  <c r="H108" i="3" s="1"/>
  <c r="K1551" i="1"/>
  <c r="K1552" i="1" s="1"/>
  <c r="F91" i="3"/>
  <c r="H91" i="3" s="1"/>
  <c r="J1116" i="1"/>
  <c r="K1647" i="1"/>
  <c r="I1660" i="1"/>
  <c r="I1807" i="1"/>
  <c r="K1807" i="1" s="1"/>
  <c r="K1619" i="1"/>
  <c r="K1825" i="1"/>
  <c r="K1826" i="1"/>
  <c r="J816" i="1" l="1"/>
  <c r="K1660" i="1"/>
  <c r="F110" i="3"/>
  <c r="H110" i="3" s="1"/>
  <c r="J879" i="1"/>
  <c r="K2158" i="1" l="1"/>
  <c r="I1728" i="1"/>
  <c r="I1729" i="1" s="1"/>
  <c r="K1727" i="1"/>
  <c r="K1726" i="1"/>
  <c r="I2153" i="1"/>
  <c r="K2152" i="1"/>
  <c r="K2153" i="1" s="1"/>
  <c r="I718" i="1"/>
  <c r="F220" i="3" s="1"/>
  <c r="H220" i="3" s="1"/>
  <c r="I717" i="1"/>
  <c r="K717" i="1" s="1"/>
  <c r="K716" i="1"/>
  <c r="K718" i="1" s="1"/>
  <c r="I1814" i="1"/>
  <c r="K1439" i="1"/>
  <c r="K1437" i="1"/>
  <c r="I1438" i="1"/>
  <c r="I1440" i="1" s="1"/>
  <c r="K1440" i="1" s="1"/>
  <c r="I2154" i="1" l="1"/>
  <c r="I2155" i="1" s="1"/>
  <c r="F79" i="3"/>
  <c r="H79" i="3" s="1"/>
  <c r="I1812" i="1"/>
  <c r="F137" i="3"/>
  <c r="H137" i="3" s="1"/>
  <c r="K1729" i="1"/>
  <c r="F123" i="3"/>
  <c r="H123" i="3" s="1"/>
  <c r="I2162" i="1"/>
  <c r="F80" i="3"/>
  <c r="H80" i="3" s="1"/>
  <c r="K1728" i="1"/>
  <c r="K2154" i="1" l="1"/>
  <c r="K2155" i="1" s="1"/>
  <c r="K2161" i="1"/>
  <c r="K2162" i="1" s="1"/>
  <c r="K1811" i="1"/>
  <c r="K1810" i="1"/>
  <c r="K587" i="1"/>
  <c r="I586" i="1"/>
  <c r="K586" i="1" s="1"/>
  <c r="K584" i="1"/>
  <c r="I1641" i="1"/>
  <c r="I1642" i="1" s="1"/>
  <c r="K1640" i="1"/>
  <c r="K1642" i="1" l="1"/>
  <c r="K588" i="1"/>
  <c r="I588" i="1"/>
  <c r="F212" i="3" s="1"/>
  <c r="H212" i="3" s="1"/>
  <c r="K1641" i="1"/>
  <c r="K487" i="1" l="1"/>
  <c r="I1914" i="1"/>
  <c r="I536" i="1"/>
  <c r="K536" i="1" s="1"/>
  <c r="K535" i="1"/>
  <c r="K534" i="1"/>
  <c r="I538" i="1" l="1"/>
  <c r="I539" i="1" s="1"/>
  <c r="I527" i="1" s="1"/>
  <c r="I1769" i="1"/>
  <c r="K1767" i="1"/>
  <c r="K1766" i="1"/>
  <c r="I1780" i="1"/>
  <c r="K1779" i="1"/>
  <c r="I1774" i="1"/>
  <c r="K1773" i="1"/>
  <c r="I1569" i="1"/>
  <c r="I1570" i="1" s="1"/>
  <c r="K1570" i="1" s="1"/>
  <c r="K1568" i="1"/>
  <c r="I2078" i="1"/>
  <c r="I2080" i="1" s="1"/>
  <c r="K2081" i="1"/>
  <c r="I1838" i="1"/>
  <c r="I1836" i="1" s="1"/>
  <c r="K1834" i="1"/>
  <c r="K1769" i="1" l="1"/>
  <c r="F130" i="3"/>
  <c r="H130" i="3" s="1"/>
  <c r="K538" i="1"/>
  <c r="K539" i="1" s="1"/>
  <c r="K527" i="1"/>
  <c r="I541" i="1"/>
  <c r="K1768" i="1"/>
  <c r="I2083" i="1"/>
  <c r="K1569" i="1"/>
  <c r="K578" i="1"/>
  <c r="K2083" i="1" l="1"/>
  <c r="G229" i="3" l="1"/>
  <c r="C229" i="3"/>
  <c r="G216" i="3"/>
  <c r="C216" i="3"/>
  <c r="G215" i="3"/>
  <c r="G214" i="3"/>
  <c r="C214" i="3"/>
  <c r="G211" i="3"/>
  <c r="C211" i="3"/>
  <c r="G210" i="3"/>
  <c r="G206" i="3"/>
  <c r="G205" i="3"/>
  <c r="G204" i="3"/>
  <c r="G191" i="3"/>
  <c r="G202" i="3"/>
  <c r="C202" i="3"/>
  <c r="G199" i="3"/>
  <c r="C199" i="3"/>
  <c r="G198" i="3"/>
  <c r="C198" i="3"/>
  <c r="G197" i="3"/>
  <c r="C197" i="3"/>
  <c r="G195" i="3"/>
  <c r="C195" i="3"/>
  <c r="G194" i="3"/>
  <c r="C194" i="3"/>
  <c r="G193" i="3"/>
  <c r="C193" i="3"/>
  <c r="G192" i="3"/>
  <c r="C192" i="3"/>
  <c r="C191" i="3"/>
  <c r="G190" i="3"/>
  <c r="C190" i="3"/>
  <c r="C189" i="3"/>
  <c r="G188" i="3"/>
  <c r="C188" i="3"/>
  <c r="C187" i="3"/>
  <c r="G185" i="3"/>
  <c r="G184" i="3"/>
  <c r="G181" i="3"/>
  <c r="G180" i="3"/>
  <c r="G179" i="3"/>
  <c r="G178" i="3"/>
  <c r="G173" i="3"/>
  <c r="G163" i="3"/>
  <c r="G167" i="3"/>
  <c r="C167" i="3"/>
  <c r="G171" i="3"/>
  <c r="G170" i="3"/>
  <c r="G169" i="3"/>
  <c r="G168" i="3"/>
  <c r="G166" i="3"/>
  <c r="G165" i="3"/>
  <c r="G161" i="3"/>
  <c r="G160" i="3"/>
  <c r="G158" i="3"/>
  <c r="C158" i="3"/>
  <c r="G157" i="3"/>
  <c r="G155" i="3"/>
  <c r="C155" i="3"/>
  <c r="G154" i="3"/>
  <c r="C154" i="3"/>
  <c r="G153" i="3"/>
  <c r="C153" i="3"/>
  <c r="G151" i="3"/>
  <c r="C151" i="3"/>
  <c r="G150" i="3"/>
  <c r="C150" i="3"/>
  <c r="G147" i="3"/>
  <c r="C147" i="3"/>
  <c r="G146" i="3"/>
  <c r="C146" i="3"/>
  <c r="G145" i="3"/>
  <c r="C145" i="3"/>
  <c r="G144" i="3"/>
  <c r="C144" i="3"/>
  <c r="G143" i="3"/>
  <c r="C143" i="3"/>
  <c r="G142" i="3"/>
  <c r="C142" i="3"/>
  <c r="G141" i="3"/>
  <c r="C141" i="3"/>
  <c r="G140" i="3"/>
  <c r="C140" i="3"/>
  <c r="G136" i="3"/>
  <c r="C136" i="3"/>
  <c r="G134" i="3"/>
  <c r="C134" i="3"/>
  <c r="G133" i="3"/>
  <c r="C133" i="3"/>
  <c r="G132" i="3"/>
  <c r="C132" i="3"/>
  <c r="G131" i="3"/>
  <c r="C131" i="3"/>
  <c r="G129" i="3"/>
  <c r="C129" i="3"/>
  <c r="G128" i="3"/>
  <c r="C128" i="3"/>
  <c r="G127" i="3"/>
  <c r="C127" i="3"/>
  <c r="G126" i="3"/>
  <c r="C126" i="3"/>
  <c r="G125" i="3"/>
  <c r="C125" i="3"/>
  <c r="G122" i="3"/>
  <c r="C122" i="3"/>
  <c r="G121" i="3"/>
  <c r="C121" i="3"/>
  <c r="G120" i="3"/>
  <c r="C120" i="3"/>
  <c r="G119" i="3"/>
  <c r="C119" i="3"/>
  <c r="G118" i="3"/>
  <c r="C118" i="3"/>
  <c r="G117" i="3"/>
  <c r="C117" i="3"/>
  <c r="G116" i="3"/>
  <c r="C116" i="3"/>
  <c r="G115" i="3"/>
  <c r="C115" i="3"/>
  <c r="G114" i="3"/>
  <c r="C114" i="3"/>
  <c r="G113" i="3"/>
  <c r="C113" i="3"/>
  <c r="G112" i="3"/>
  <c r="C112" i="3"/>
  <c r="G111" i="3"/>
  <c r="C111" i="3"/>
  <c r="G109" i="3"/>
  <c r="C109" i="3"/>
  <c r="G106" i="3"/>
  <c r="C106" i="3"/>
  <c r="G105" i="3"/>
  <c r="C105" i="3"/>
  <c r="G104" i="3"/>
  <c r="C104" i="3"/>
  <c r="G101" i="3"/>
  <c r="C101" i="3"/>
  <c r="G100" i="3"/>
  <c r="C100" i="3"/>
  <c r="G98" i="3"/>
  <c r="C98" i="3"/>
  <c r="G97" i="3"/>
  <c r="C97" i="3"/>
  <c r="G96" i="3"/>
  <c r="C96" i="3"/>
  <c r="G95" i="3"/>
  <c r="C95" i="3"/>
  <c r="G93" i="3"/>
  <c r="C93" i="3"/>
  <c r="G92" i="3"/>
  <c r="C92" i="3"/>
  <c r="G89" i="3"/>
  <c r="G86" i="3"/>
  <c r="G82" i="3"/>
  <c r="G84" i="3"/>
  <c r="G60" i="3"/>
  <c r="C60" i="3"/>
  <c r="G41" i="3"/>
  <c r="C41" i="3"/>
  <c r="C40" i="3"/>
  <c r="C39" i="3"/>
  <c r="C38" i="3"/>
  <c r="C37" i="3"/>
  <c r="C36" i="3"/>
  <c r="C35" i="3"/>
  <c r="C34" i="3"/>
  <c r="C33" i="3"/>
  <c r="C32" i="3"/>
  <c r="C31" i="3"/>
  <c r="C30" i="3"/>
  <c r="G29" i="3"/>
  <c r="C29" i="3"/>
  <c r="G28" i="3"/>
  <c r="C28" i="3"/>
  <c r="G27" i="3"/>
  <c r="C27" i="3"/>
  <c r="G26" i="3"/>
  <c r="C26" i="3"/>
  <c r="G25" i="3"/>
  <c r="C25" i="3"/>
  <c r="G24" i="3"/>
  <c r="C24" i="3"/>
  <c r="G23" i="3"/>
  <c r="C23" i="3"/>
  <c r="G22" i="3"/>
  <c r="C22" i="3"/>
  <c r="G20" i="3"/>
  <c r="C20" i="3"/>
  <c r="G19" i="3"/>
  <c r="C19" i="3"/>
  <c r="G18" i="3"/>
  <c r="C18" i="3"/>
  <c r="G16" i="3"/>
  <c r="C16" i="3"/>
  <c r="G15" i="3"/>
  <c r="C15" i="3"/>
  <c r="G14" i="3"/>
  <c r="C14" i="3"/>
  <c r="G8" i="3"/>
  <c r="G7" i="3" s="1"/>
  <c r="C7" i="3"/>
  <c r="C8" i="3"/>
  <c r="C10" i="3"/>
  <c r="B12" i="3"/>
  <c r="C12" i="3"/>
  <c r="G12" i="3"/>
  <c r="G30" i="3"/>
  <c r="G31" i="3"/>
  <c r="G32" i="3"/>
  <c r="G33" i="3"/>
  <c r="G34" i="3"/>
  <c r="G35" i="3"/>
  <c r="G36" i="3"/>
  <c r="G37" i="3"/>
  <c r="G38" i="3"/>
  <c r="G39" i="3"/>
  <c r="G40" i="3"/>
  <c r="C42" i="3"/>
  <c r="G42" i="3"/>
  <c r="C44" i="3"/>
  <c r="G44" i="3"/>
  <c r="C45" i="3"/>
  <c r="G45" i="3"/>
  <c r="C46" i="3"/>
  <c r="G46" i="3"/>
  <c r="C47" i="3"/>
  <c r="G47" i="3"/>
  <c r="C48" i="3"/>
  <c r="G48" i="3"/>
  <c r="C50" i="3"/>
  <c r="G50" i="3"/>
  <c r="C51" i="3"/>
  <c r="G51" i="3"/>
  <c r="C52" i="3"/>
  <c r="G52" i="3"/>
  <c r="C53" i="3"/>
  <c r="G53" i="3"/>
  <c r="B56" i="3"/>
  <c r="C56" i="3"/>
  <c r="G56" i="3"/>
  <c r="B57" i="3"/>
  <c r="C57" i="3"/>
  <c r="G57" i="3"/>
  <c r="C58" i="3"/>
  <c r="G58" i="3"/>
  <c r="C61" i="3"/>
  <c r="G61" i="3"/>
  <c r="C62" i="3"/>
  <c r="G62" i="3"/>
  <c r="C63" i="3"/>
  <c r="G63" i="3"/>
  <c r="C64" i="3"/>
  <c r="G64" i="3"/>
  <c r="C65" i="3"/>
  <c r="G65" i="3"/>
  <c r="C66" i="3"/>
  <c r="G66" i="3"/>
  <c r="C69" i="3"/>
  <c r="C70" i="3"/>
  <c r="C71" i="3"/>
  <c r="C73" i="3"/>
  <c r="G73" i="3"/>
  <c r="C74" i="3"/>
  <c r="G74" i="3"/>
  <c r="C75" i="3"/>
  <c r="G75" i="3"/>
  <c r="C76" i="3"/>
  <c r="G76" i="3"/>
  <c r="C77" i="3"/>
  <c r="G77" i="3"/>
  <c r="C78" i="3"/>
  <c r="G78" i="3"/>
  <c r="C83" i="3"/>
  <c r="G83" i="3"/>
  <c r="C84" i="3"/>
  <c r="C86" i="3"/>
  <c r="F87" i="3"/>
  <c r="G87" i="3"/>
  <c r="C88" i="3"/>
  <c r="G88" i="3"/>
  <c r="C89" i="3"/>
  <c r="C157" i="3"/>
  <c r="C161" i="3"/>
  <c r="C163" i="3"/>
  <c r="C164" i="3"/>
  <c r="G164" i="3"/>
  <c r="C165" i="3"/>
  <c r="C166" i="3"/>
  <c r="C168" i="3"/>
  <c r="C169" i="3"/>
  <c r="C170" i="3"/>
  <c r="C171" i="3"/>
  <c r="C173" i="3"/>
  <c r="C174" i="3"/>
  <c r="G174" i="3"/>
  <c r="C176" i="3"/>
  <c r="C177" i="3"/>
  <c r="C178" i="3"/>
  <c r="C179" i="3"/>
  <c r="C180" i="3"/>
  <c r="C181" i="3"/>
  <c r="C182" i="3"/>
  <c r="G182" i="3"/>
  <c r="C184" i="3"/>
  <c r="C185" i="3"/>
  <c r="G187" i="3"/>
  <c r="C204" i="3"/>
  <c r="C205" i="3"/>
  <c r="C206" i="3"/>
  <c r="C207" i="3"/>
  <c r="G207" i="3"/>
  <c r="C208" i="3"/>
  <c r="G208" i="3"/>
  <c r="C210" i="3"/>
  <c r="C215" i="3"/>
  <c r="C217" i="3"/>
  <c r="G217" i="3"/>
  <c r="C218" i="3"/>
  <c r="G218" i="3"/>
  <c r="C219" i="3"/>
  <c r="G219" i="3"/>
  <c r="C221" i="3"/>
  <c r="G221" i="3"/>
  <c r="C222" i="3"/>
  <c r="G222" i="3"/>
  <c r="C224" i="3"/>
  <c r="G224" i="3"/>
  <c r="C225" i="3"/>
  <c r="G225" i="3"/>
  <c r="G55" i="3" l="1"/>
  <c r="G156" i="3"/>
  <c r="G226" i="3"/>
  <c r="G223" i="3"/>
  <c r="G203" i="3"/>
  <c r="G183" i="3"/>
  <c r="G85" i="3"/>
  <c r="H87" i="3"/>
  <c r="G72" i="3"/>
  <c r="G162" i="3"/>
  <c r="G159" i="3"/>
  <c r="G10" i="3"/>
  <c r="G172" i="3"/>
  <c r="I279" i="1" l="1"/>
  <c r="K2278" i="1" l="1"/>
  <c r="I63" i="1" l="1"/>
  <c r="K1901" i="1"/>
  <c r="K1902" i="1"/>
  <c r="K1900" i="1"/>
  <c r="K917" i="1"/>
  <c r="K505" i="1"/>
  <c r="I1636" i="1" l="1"/>
  <c r="I1637" i="1" s="1"/>
  <c r="K1634" i="1"/>
  <c r="K1635" i="1"/>
  <c r="I1378" i="1"/>
  <c r="I1379" i="1" s="1"/>
  <c r="F20" i="3" s="1"/>
  <c r="K1376" i="1"/>
  <c r="K1377" i="1"/>
  <c r="I924" i="1"/>
  <c r="I925" i="1" s="1"/>
  <c r="K923" i="1"/>
  <c r="I1664" i="1"/>
  <c r="I1665" i="1" s="1"/>
  <c r="K1663" i="1"/>
  <c r="I1654" i="1"/>
  <c r="K1651" i="1"/>
  <c r="K1652" i="1"/>
  <c r="I1903" i="1"/>
  <c r="K1418" i="1"/>
  <c r="K1889" i="1"/>
  <c r="J1138" i="1"/>
  <c r="J1139" i="1"/>
  <c r="K1139" i="1" s="1"/>
  <c r="I388" i="1"/>
  <c r="I389" i="1" s="1"/>
  <c r="K387" i="1"/>
  <c r="K388" i="1" s="1"/>
  <c r="I919" i="1"/>
  <c r="I920" i="1" s="1"/>
  <c r="I761" i="1"/>
  <c r="I106" i="1" s="1"/>
  <c r="I102" i="1" s="1"/>
  <c r="K753" i="1"/>
  <c r="K750" i="1"/>
  <c r="I752" i="1"/>
  <c r="I754" i="1" s="1"/>
  <c r="F154" i="3" l="1"/>
  <c r="K754" i="1"/>
  <c r="H229" i="3" s="1"/>
  <c r="F229" i="3"/>
  <c r="K1654" i="1"/>
  <c r="H109" i="3" s="1"/>
  <c r="F109" i="3"/>
  <c r="K925" i="1"/>
  <c r="H155" i="3" s="1"/>
  <c r="F155" i="3"/>
  <c r="K1419" i="1"/>
  <c r="H27" i="3" s="1"/>
  <c r="F27" i="3"/>
  <c r="K1665" i="1"/>
  <c r="H111" i="3" s="1"/>
  <c r="F111" i="3"/>
  <c r="K1637" i="1"/>
  <c r="H106" i="3" s="1"/>
  <c r="F106" i="3"/>
  <c r="K1636" i="1"/>
  <c r="K1378" i="1"/>
  <c r="K1379" i="1" s="1"/>
  <c r="H20" i="3" s="1"/>
  <c r="K924" i="1"/>
  <c r="K1664" i="1"/>
  <c r="K1653" i="1"/>
  <c r="K1891" i="1"/>
  <c r="K389" i="1"/>
  <c r="K390" i="1" s="1"/>
  <c r="H167" i="3" s="1"/>
  <c r="I390" i="1"/>
  <c r="F167" i="3" s="1"/>
  <c r="K752" i="1"/>
  <c r="K623" i="1"/>
  <c r="K632" i="1"/>
  <c r="K631" i="1"/>
  <c r="K630" i="1"/>
  <c r="I633" i="1"/>
  <c r="I627" i="1" s="1"/>
  <c r="K633" i="1" l="1"/>
  <c r="K627" i="1"/>
  <c r="I634" i="1"/>
  <c r="I635" i="1" s="1"/>
  <c r="K635" i="1" l="1"/>
  <c r="H16" i="3" s="1"/>
  <c r="F16" i="3"/>
  <c r="K634" i="1"/>
  <c r="K2247" i="1" l="1"/>
  <c r="K2340" i="1"/>
  <c r="K2341" i="1"/>
  <c r="K2342" i="1"/>
  <c r="K2343" i="1"/>
  <c r="K2328" i="1"/>
  <c r="K2329" i="1"/>
  <c r="K2327" i="1"/>
  <c r="F133" i="3"/>
  <c r="K2279" i="1"/>
  <c r="K1912" i="1"/>
  <c r="K1219" i="1"/>
  <c r="I695" i="1"/>
  <c r="I731" i="1"/>
  <c r="K731" i="1" s="1"/>
  <c r="I724" i="1"/>
  <c r="K724" i="1" s="1"/>
  <c r="I712" i="1"/>
  <c r="K712" i="1" s="1"/>
  <c r="I705" i="1"/>
  <c r="K705" i="1" s="1"/>
  <c r="I678" i="1"/>
  <c r="K678" i="1" s="1"/>
  <c r="I490" i="1"/>
  <c r="I422" i="1"/>
  <c r="I523" i="1" s="1"/>
  <c r="K523" i="1" s="1"/>
  <c r="I294" i="1"/>
  <c r="I1559" i="1"/>
  <c r="K1555" i="1"/>
  <c r="K1556" i="1"/>
  <c r="I1372" i="1"/>
  <c r="I1373" i="1" s="1"/>
  <c r="F19" i="3" s="1"/>
  <c r="K1371" i="1"/>
  <c r="I959" i="1"/>
  <c r="K958" i="1"/>
  <c r="K957" i="1"/>
  <c r="I1670" i="1"/>
  <c r="I1671" i="1" s="1"/>
  <c r="K1669" i="1"/>
  <c r="K1668" i="1"/>
  <c r="I1630" i="1"/>
  <c r="I1740" i="1"/>
  <c r="I1741" i="1" s="1"/>
  <c r="K1739" i="1"/>
  <c r="I1722" i="1"/>
  <c r="K1720" i="1"/>
  <c r="I1462" i="1"/>
  <c r="F35" i="3" s="1"/>
  <c r="H35" i="3" s="1"/>
  <c r="K1460" i="1"/>
  <c r="I1456" i="1"/>
  <c r="F34" i="3" s="1"/>
  <c r="H34" i="3" s="1"/>
  <c r="K1454" i="1"/>
  <c r="K975" i="1"/>
  <c r="K973" i="1"/>
  <c r="K971" i="1"/>
  <c r="K970" i="1"/>
  <c r="K969" i="1"/>
  <c r="K1115" i="1"/>
  <c r="I1565" i="1"/>
  <c r="K1562" i="1"/>
  <c r="K1563" i="1"/>
  <c r="I1781" i="1"/>
  <c r="K1778" i="1"/>
  <c r="I1775" i="1"/>
  <c r="K1772" i="1"/>
  <c r="I1581" i="1"/>
  <c r="I1582" i="1" s="1"/>
  <c r="F96" i="3" s="1"/>
  <c r="K1579" i="1"/>
  <c r="K1580" i="1"/>
  <c r="I491" i="1" l="1"/>
  <c r="I492" i="1" s="1"/>
  <c r="F180" i="3" s="1"/>
  <c r="K1565" i="1"/>
  <c r="H93" i="3" s="1"/>
  <c r="F93" i="3"/>
  <c r="K1775" i="1"/>
  <c r="H131" i="3" s="1"/>
  <c r="F131" i="3"/>
  <c r="K1781" i="1"/>
  <c r="H132" i="3" s="1"/>
  <c r="F132" i="3"/>
  <c r="K959" i="1"/>
  <c r="H158" i="3" s="1"/>
  <c r="F158" i="3"/>
  <c r="K1741" i="1"/>
  <c r="H125" i="3" s="1"/>
  <c r="F125" i="3"/>
  <c r="K1671" i="1"/>
  <c r="H112" i="3" s="1"/>
  <c r="F112" i="3"/>
  <c r="K1557" i="1"/>
  <c r="F92" i="3"/>
  <c r="K1558" i="1"/>
  <c r="K1564" i="1"/>
  <c r="K1372" i="1"/>
  <c r="K1373" i="1" s="1"/>
  <c r="H19" i="3" s="1"/>
  <c r="K1670" i="1"/>
  <c r="K1740" i="1"/>
  <c r="K1461" i="1"/>
  <c r="K1462" i="1" s="1"/>
  <c r="K1455" i="1"/>
  <c r="K1456" i="1" s="1"/>
  <c r="K1780" i="1"/>
  <c r="K1774" i="1"/>
  <c r="K1581" i="1"/>
  <c r="K1582" i="1" s="1"/>
  <c r="H96" i="3" s="1"/>
  <c r="K1415" i="1"/>
  <c r="K1416" i="1"/>
  <c r="K1784" i="1"/>
  <c r="I1575" i="1"/>
  <c r="K1573" i="1"/>
  <c r="I1862" i="1"/>
  <c r="I1863" i="1" s="1"/>
  <c r="K1861" i="1"/>
  <c r="K1860" i="1"/>
  <c r="K1475" i="1"/>
  <c r="I1853" i="1"/>
  <c r="I1857" i="1" s="1"/>
  <c r="I1854" i="1" s="1"/>
  <c r="K1852" i="1"/>
  <c r="K1585" i="1"/>
  <c r="I1396" i="1"/>
  <c r="I1397" i="1" s="1"/>
  <c r="K1395" i="1"/>
  <c r="I1948" i="1"/>
  <c r="K1944" i="1"/>
  <c r="K1945" i="1"/>
  <c r="K1803" i="1"/>
  <c r="I1625" i="1"/>
  <c r="I1626" i="1" s="1"/>
  <c r="K1624" i="1"/>
  <c r="I1867" i="1"/>
  <c r="I1868" i="1" s="1"/>
  <c r="F146" i="3" s="1"/>
  <c r="I1367" i="1"/>
  <c r="I1368" i="1" s="1"/>
  <c r="F18" i="3" s="1"/>
  <c r="K1366" i="1"/>
  <c r="K1365" i="1"/>
  <c r="K1877" i="1"/>
  <c r="I1879" i="1"/>
  <c r="I1391" i="1"/>
  <c r="I1392" i="1" s="1"/>
  <c r="K1390" i="1"/>
  <c r="K1389" i="1"/>
  <c r="I1402" i="1"/>
  <c r="K1130" i="1"/>
  <c r="I1131" i="1"/>
  <c r="I601" i="1"/>
  <c r="K601" i="1" s="1"/>
  <c r="K599" i="1"/>
  <c r="K600" i="1"/>
  <c r="K598" i="1"/>
  <c r="F144" i="3" l="1"/>
  <c r="I131" i="1"/>
  <c r="I130" i="1" s="1"/>
  <c r="K130" i="1" s="1"/>
  <c r="F24" i="3"/>
  <c r="F22" i="3"/>
  <c r="F97" i="3"/>
  <c r="K491" i="1"/>
  <c r="K492" i="1" s="1"/>
  <c r="H180" i="3" s="1"/>
  <c r="K1559" i="1"/>
  <c r="H92" i="3" s="1"/>
  <c r="I1946" i="1"/>
  <c r="K1946" i="1" s="1"/>
  <c r="K1948" i="1" s="1"/>
  <c r="H198" i="3" s="1"/>
  <c r="F198" i="3"/>
  <c r="K1863" i="1"/>
  <c r="H145" i="3" s="1"/>
  <c r="F145" i="3"/>
  <c r="K1626" i="1"/>
  <c r="H104" i="3" s="1"/>
  <c r="F104" i="3"/>
  <c r="K1397" i="1"/>
  <c r="H23" i="3" s="1"/>
  <c r="F23" i="3"/>
  <c r="K1392" i="1"/>
  <c r="H22" i="3" s="1"/>
  <c r="K1862" i="1"/>
  <c r="I602" i="1"/>
  <c r="K602" i="1" s="1"/>
  <c r="K1396" i="1"/>
  <c r="K1367" i="1"/>
  <c r="K1368" i="1" s="1"/>
  <c r="H18" i="3" s="1"/>
  <c r="K1625" i="1"/>
  <c r="K1391" i="1"/>
  <c r="K485" i="1"/>
  <c r="K486" i="1"/>
  <c r="K489" i="1"/>
  <c r="K484" i="1"/>
  <c r="K1179" i="1"/>
  <c r="I1180" i="1"/>
  <c r="I2331" i="1"/>
  <c r="I2335" i="1" s="1"/>
  <c r="I2333" i="1" s="1"/>
  <c r="K682" i="1"/>
  <c r="I683" i="1"/>
  <c r="K683" i="1" l="1"/>
  <c r="H216" i="3" s="1"/>
  <c r="F216" i="3"/>
  <c r="I603" i="1"/>
  <c r="I684" i="1"/>
  <c r="K603" i="1" l="1"/>
  <c r="H214" i="3" s="1"/>
  <c r="F214" i="3"/>
  <c r="K1355" i="1"/>
  <c r="I1320" i="1"/>
  <c r="K1320" i="1" s="1"/>
  <c r="I834" i="1" l="1"/>
  <c r="I830" i="1" s="1"/>
  <c r="K811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795" i="1"/>
  <c r="K815" i="1"/>
  <c r="G69" i="3"/>
  <c r="K812" i="1" l="1"/>
  <c r="J1095" i="1"/>
  <c r="K1094" i="1"/>
  <c r="K1093" i="1"/>
  <c r="K1086" i="1"/>
  <c r="I1478" i="1" l="1"/>
  <c r="F38" i="3" s="1"/>
  <c r="H38" i="3" s="1"/>
  <c r="K1476" i="1"/>
  <c r="K2187" i="1"/>
  <c r="I1939" i="1"/>
  <c r="I1271" i="1"/>
  <c r="I1273" i="1" s="1"/>
  <c r="I1274" i="1" s="1"/>
  <c r="F170" i="3" s="1"/>
  <c r="I416" i="1"/>
  <c r="I417" i="1" s="1"/>
  <c r="K415" i="1"/>
  <c r="K416" i="1" s="1"/>
  <c r="K1477" i="1" l="1"/>
  <c r="K1478" i="1" s="1"/>
  <c r="K417" i="1"/>
  <c r="K418" i="1" s="1"/>
  <c r="H211" i="3" s="1"/>
  <c r="I418" i="1"/>
  <c r="F211" i="3" s="1"/>
  <c r="K397" i="1"/>
  <c r="I625" i="1" l="1"/>
  <c r="K619" i="1"/>
  <c r="K625" i="1" s="1"/>
  <c r="K613" i="1" l="1"/>
  <c r="I624" i="1"/>
  <c r="K624" i="1" s="1"/>
  <c r="I2132" i="1"/>
  <c r="I2133" i="1" s="1"/>
  <c r="K2129" i="1"/>
  <c r="I2135" i="1" l="1"/>
  <c r="K2135" i="1" s="1"/>
  <c r="F82" i="3"/>
  <c r="F45" i="3"/>
  <c r="H45" i="3" s="1"/>
  <c r="H82" i="3" l="1"/>
  <c r="K2166" i="1"/>
  <c r="K2130" i="1"/>
  <c r="I879" i="1" l="1"/>
  <c r="I882" i="1" s="1"/>
  <c r="I2048" i="1"/>
  <c r="F51" i="3" s="1"/>
  <c r="H51" i="3" s="1"/>
  <c r="F141" i="3" l="1"/>
  <c r="K1836" i="1"/>
  <c r="I1957" i="1" l="1"/>
  <c r="K1956" i="1"/>
  <c r="I1285" i="1"/>
  <c r="K1284" i="1"/>
  <c r="K1282" i="1"/>
  <c r="K1281" i="1"/>
  <c r="K1957" i="1" l="1"/>
  <c r="I1958" i="1"/>
  <c r="F202" i="3" s="1"/>
  <c r="K920" i="1"/>
  <c r="H154" i="3" s="1"/>
  <c r="K919" i="1"/>
  <c r="K918" i="1"/>
  <c r="K1958" i="1" l="1"/>
  <c r="H202" i="3" s="1"/>
  <c r="K569" i="1"/>
  <c r="K2331" i="1" l="1"/>
  <c r="J831" i="1"/>
  <c r="J844" i="1" s="1"/>
  <c r="K2335" i="1" l="1"/>
  <c r="K2333" i="1"/>
  <c r="K1106" i="1"/>
  <c r="K1030" i="1"/>
  <c r="J847" i="1" l="1"/>
  <c r="J786" i="1" s="1"/>
  <c r="K844" i="1"/>
  <c r="K911" i="1"/>
  <c r="K909" i="1"/>
  <c r="I1896" i="1"/>
  <c r="K1896" i="1" s="1"/>
  <c r="K1897" i="1" s="1"/>
  <c r="H190" i="3" s="1"/>
  <c r="K1895" i="1"/>
  <c r="K935" i="1"/>
  <c r="K912" i="1" l="1"/>
  <c r="H153" i="3" s="1"/>
  <c r="F153" i="3"/>
  <c r="I1897" i="1"/>
  <c r="F190" i="3" s="1"/>
  <c r="K877" i="1" l="1"/>
  <c r="K884" i="1" l="1"/>
  <c r="F42" i="3" l="1"/>
  <c r="H42" i="3" s="1"/>
  <c r="K1924" i="1" l="1"/>
  <c r="K1128" i="1"/>
  <c r="K1127" i="1"/>
  <c r="J1137" i="1" l="1"/>
  <c r="K1867" i="1"/>
  <c r="K1866" i="1"/>
  <c r="K1792" i="1"/>
  <c r="I1794" i="1"/>
  <c r="K655" i="1"/>
  <c r="K657" i="1"/>
  <c r="K658" i="1"/>
  <c r="K659" i="1"/>
  <c r="K660" i="1"/>
  <c r="K661" i="1"/>
  <c r="K662" i="1"/>
  <c r="K664" i="1"/>
  <c r="K665" i="1"/>
  <c r="K668" i="1"/>
  <c r="K669" i="1"/>
  <c r="K670" i="1"/>
  <c r="K654" i="1"/>
  <c r="K2231" i="1"/>
  <c r="K2232" i="1"/>
  <c r="I2233" i="1"/>
  <c r="I2234" i="1" s="1"/>
  <c r="K1288" i="1"/>
  <c r="K1286" i="1"/>
  <c r="K1283" i="1"/>
  <c r="K1280" i="1"/>
  <c r="K1277" i="1"/>
  <c r="K1285" i="1"/>
  <c r="K1278" i="1"/>
  <c r="K1279" i="1"/>
  <c r="I2237" i="1" l="1"/>
  <c r="K2237" i="1" s="1"/>
  <c r="K1794" i="1"/>
  <c r="H134" i="3" s="1"/>
  <c r="F134" i="3"/>
  <c r="K2233" i="1"/>
  <c r="K1868" i="1"/>
  <c r="H146" i="3" s="1"/>
  <c r="K1793" i="1"/>
  <c r="I1287" i="1"/>
  <c r="I1289" i="1" s="1"/>
  <c r="K1855" i="1"/>
  <c r="K1853" i="1"/>
  <c r="K1289" i="1" l="1"/>
  <c r="H171" i="3" s="1"/>
  <c r="F171" i="3"/>
  <c r="K1857" i="1"/>
  <c r="H144" i="3" s="1"/>
  <c r="K1287" i="1"/>
  <c r="K1854" i="1"/>
  <c r="I2060" i="1"/>
  <c r="K2059" i="1"/>
  <c r="I2058" i="1"/>
  <c r="K2058" i="1" s="1"/>
  <c r="K2057" i="1"/>
  <c r="K2060" i="1" l="1"/>
  <c r="F53" i="3" s="1"/>
  <c r="H53" i="3" s="1"/>
  <c r="K1940" i="1"/>
  <c r="I1941" i="1"/>
  <c r="K1588" i="1"/>
  <c r="K1589" i="1"/>
  <c r="H97" i="3" s="1"/>
  <c r="K1835" i="1"/>
  <c r="K1939" i="1" l="1"/>
  <c r="F197" i="3"/>
  <c r="K1838" i="1"/>
  <c r="H141" i="3" s="1"/>
  <c r="K1788" i="1"/>
  <c r="H133" i="3" s="1"/>
  <c r="K1837" i="1"/>
  <c r="I469" i="1" l="1"/>
  <c r="K469" i="1" s="1"/>
  <c r="I470" i="1" l="1"/>
  <c r="I471" i="1" l="1"/>
  <c r="F179" i="3" s="1"/>
  <c r="K470" i="1"/>
  <c r="K471" i="1" s="1"/>
  <c r="H179" i="3" s="1"/>
  <c r="I479" i="1" l="1"/>
  <c r="I480" i="1" l="1"/>
  <c r="I495" i="1" s="1"/>
  <c r="K267" i="1" l="1"/>
  <c r="I892" i="1" l="1"/>
  <c r="F150" i="3" s="1"/>
  <c r="I891" i="1"/>
  <c r="K891" i="1" s="1"/>
  <c r="K890" i="1"/>
  <c r="I1716" i="1"/>
  <c r="I1717" i="1" s="1"/>
  <c r="F121" i="3" s="1"/>
  <c r="K1715" i="1"/>
  <c r="K1751" i="1"/>
  <c r="K1752" i="1" s="1"/>
  <c r="H127" i="3" s="1"/>
  <c r="K1750" i="1"/>
  <c r="I1745" i="1"/>
  <c r="I1746" i="1" s="1"/>
  <c r="F126" i="3" s="1"/>
  <c r="K1744" i="1"/>
  <c r="I1711" i="1"/>
  <c r="I1712" i="1" s="1"/>
  <c r="F120" i="3" s="1"/>
  <c r="K1710" i="1"/>
  <c r="I1707" i="1"/>
  <c r="F119" i="3" s="1"/>
  <c r="K1705" i="1"/>
  <c r="I1700" i="1"/>
  <c r="I1701" i="1" s="1"/>
  <c r="F118" i="3" s="1"/>
  <c r="K1699" i="1"/>
  <c r="I1680" i="1"/>
  <c r="I1681" i="1" s="1"/>
  <c r="F114" i="3" s="1"/>
  <c r="K1679" i="1"/>
  <c r="K1701" i="1" l="1"/>
  <c r="H118" i="3" s="1"/>
  <c r="K1712" i="1"/>
  <c r="H120" i="3" s="1"/>
  <c r="K892" i="1"/>
  <c r="H150" i="3" s="1"/>
  <c r="K1681" i="1"/>
  <c r="H114" i="3" s="1"/>
  <c r="K1707" i="1"/>
  <c r="H119" i="3" s="1"/>
  <c r="K1717" i="1"/>
  <c r="H121" i="3" s="1"/>
  <c r="I1752" i="1"/>
  <c r="F127" i="3" s="1"/>
  <c r="K1716" i="1"/>
  <c r="K1745" i="1"/>
  <c r="K1746" i="1" s="1"/>
  <c r="H126" i="3" s="1"/>
  <c r="K1711" i="1"/>
  <c r="K1706" i="1"/>
  <c r="K1700" i="1"/>
  <c r="K1680" i="1"/>
  <c r="F12" i="3" l="1"/>
  <c r="I2147" i="1"/>
  <c r="I2148" i="1" s="1"/>
  <c r="K2146" i="1"/>
  <c r="K2147" i="1" s="1"/>
  <c r="I2140" i="1"/>
  <c r="I2141" i="1" s="1"/>
  <c r="K2139" i="1"/>
  <c r="K2138" i="1"/>
  <c r="K2076" i="1"/>
  <c r="K2077" i="1"/>
  <c r="I950" i="1"/>
  <c r="H12" i="3" l="1"/>
  <c r="I2142" i="1"/>
  <c r="F77" i="3" s="1"/>
  <c r="H77" i="3" s="1"/>
  <c r="K2141" i="1"/>
  <c r="K2140" i="1"/>
  <c r="K2148" i="1" l="1"/>
  <c r="K2149" i="1" s="1"/>
  <c r="I2149" i="1"/>
  <c r="F78" i="3" s="1"/>
  <c r="H78" i="3" s="1"/>
  <c r="K2142" i="1"/>
  <c r="I984" i="1" l="1"/>
  <c r="I2054" i="1"/>
  <c r="F52" i="3" s="1"/>
  <c r="H52" i="3" s="1"/>
  <c r="I2052" i="1"/>
  <c r="K2052" i="1" s="1"/>
  <c r="K2051" i="1"/>
  <c r="K2054" i="1" s="1"/>
  <c r="K2046" i="1"/>
  <c r="K2044" i="1"/>
  <c r="K1913" i="1"/>
  <c r="K1914" i="1" s="1"/>
  <c r="I1535" i="1"/>
  <c r="F48" i="3" s="1"/>
  <c r="H48" i="3" s="1"/>
  <c r="K1534" i="1"/>
  <c r="K1532" i="1"/>
  <c r="K1535" i="1" s="1"/>
  <c r="K1533" i="1"/>
  <c r="K2045" i="1" l="1"/>
  <c r="K2048" i="1"/>
  <c r="K2053" i="1"/>
  <c r="I744" i="1" l="1"/>
  <c r="K744" i="1" s="1"/>
  <c r="K745" i="1" s="1"/>
  <c r="H228" i="3" s="1"/>
  <c r="H226" i="3" s="1"/>
  <c r="K742" i="1"/>
  <c r="I1977" i="1"/>
  <c r="K1977" i="1" s="1"/>
  <c r="K1976" i="1"/>
  <c r="I1978" i="1" l="1"/>
  <c r="I745" i="1"/>
  <c r="I1952" i="1"/>
  <c r="K1952" i="1" s="1"/>
  <c r="K1951" i="1"/>
  <c r="K1938" i="1"/>
  <c r="I1528" i="1"/>
  <c r="K1528" i="1" s="1"/>
  <c r="K1527" i="1"/>
  <c r="K1522" i="1"/>
  <c r="I1523" i="1"/>
  <c r="I1524" i="1" s="1"/>
  <c r="F46" i="3" s="1"/>
  <c r="H46" i="3" s="1"/>
  <c r="I1848" i="1"/>
  <c r="I1849" i="1" s="1"/>
  <c r="F143" i="3" s="1"/>
  <c r="K1847" i="1"/>
  <c r="K1843" i="1"/>
  <c r="K1841" i="1"/>
  <c r="I1842" i="1"/>
  <c r="I1844" i="1" s="1"/>
  <c r="F142" i="3" s="1"/>
  <c r="I737" i="1" l="1"/>
  <c r="F228" i="3"/>
  <c r="F226" i="3" s="1"/>
  <c r="K737" i="1"/>
  <c r="I1973" i="1"/>
  <c r="K1973" i="1" s="1"/>
  <c r="F60" i="3"/>
  <c r="K1849" i="1"/>
  <c r="H143" i="3" s="1"/>
  <c r="K1978" i="1"/>
  <c r="H60" i="3" s="1"/>
  <c r="I1953" i="1"/>
  <c r="F199" i="3" s="1"/>
  <c r="K1941" i="1"/>
  <c r="H197" i="3" s="1"/>
  <c r="K1524" i="1"/>
  <c r="K1848" i="1"/>
  <c r="I1529" i="1"/>
  <c r="F47" i="3" s="1"/>
  <c r="H47" i="3" s="1"/>
  <c r="K1523" i="1"/>
  <c r="K1842" i="1"/>
  <c r="K1844" i="1" s="1"/>
  <c r="H142" i="3" s="1"/>
  <c r="I219" i="1" l="1"/>
  <c r="K1953" i="1"/>
  <c r="H199" i="3" s="1"/>
  <c r="K1529" i="1"/>
  <c r="K1987" i="1" l="1"/>
  <c r="K1786" i="1" l="1"/>
  <c r="K1785" i="1"/>
  <c r="K1497" i="1"/>
  <c r="K1721" i="1"/>
  <c r="I1723" i="1"/>
  <c r="F122" i="3" s="1"/>
  <c r="I1690" i="1"/>
  <c r="K1500" i="1" l="1"/>
  <c r="K1723" i="1"/>
  <c r="H122" i="3" s="1"/>
  <c r="K1722" i="1"/>
  <c r="K1498" i="1"/>
  <c r="I732" i="1" l="1"/>
  <c r="F222" i="3" s="1"/>
  <c r="H222" i="3" s="1"/>
  <c r="K730" i="1"/>
  <c r="K732" i="1" s="1"/>
  <c r="I1132" i="1"/>
  <c r="K2248" i="1"/>
  <c r="I1262" i="1"/>
  <c r="K1261" i="1"/>
  <c r="I998" i="1"/>
  <c r="I2316" i="1"/>
  <c r="I2216" i="1"/>
  <c r="K2214" i="1"/>
  <c r="I1121" i="1"/>
  <c r="K821" i="1"/>
  <c r="K826" i="1"/>
  <c r="K827" i="1"/>
  <c r="I725" i="1"/>
  <c r="F221" i="3" s="1"/>
  <c r="H221" i="3" s="1"/>
  <c r="K723" i="1"/>
  <c r="K725" i="1" s="1"/>
  <c r="K1926" i="1"/>
  <c r="K1927" i="1" s="1"/>
  <c r="H195" i="3" s="1"/>
  <c r="K1925" i="1"/>
  <c r="F161" i="3" l="1"/>
  <c r="K998" i="1"/>
  <c r="H161" i="3" s="1"/>
  <c r="K490" i="1"/>
  <c r="I1264" i="1"/>
  <c r="I1265" i="1" s="1"/>
  <c r="F169" i="3" s="1"/>
  <c r="K1132" i="1"/>
  <c r="K1133" i="1" s="1"/>
  <c r="I1133" i="1"/>
  <c r="K1131" i="1"/>
  <c r="I2250" i="1"/>
  <c r="F66" i="3" s="1"/>
  <c r="H66" i="3" s="1"/>
  <c r="K1262" i="1"/>
  <c r="K2216" i="1"/>
  <c r="K2217" i="1" s="1"/>
  <c r="I2217" i="1"/>
  <c r="F63" i="3" s="1"/>
  <c r="H63" i="3" s="1"/>
  <c r="K2215" i="1"/>
  <c r="I1927" i="1"/>
  <c r="F182" i="3" l="1"/>
  <c r="H182" i="3" s="1"/>
  <c r="F195" i="3"/>
  <c r="K1264" i="1"/>
  <c r="K1265" i="1" s="1"/>
  <c r="H169" i="3" s="1"/>
  <c r="K2249" i="1"/>
  <c r="K2250" i="1" s="1"/>
  <c r="I1204" i="1"/>
  <c r="I1210" i="1" s="1"/>
  <c r="I1206" i="1" s="1"/>
  <c r="I1221" i="1"/>
  <c r="K857" i="1"/>
  <c r="I1919" i="1" l="1"/>
  <c r="I1920" i="1" s="1"/>
  <c r="F194" i="3" s="1"/>
  <c r="K1918" i="1"/>
  <c r="I1915" i="1"/>
  <c r="F193" i="3" s="1"/>
  <c r="I1908" i="1"/>
  <c r="I1909" i="1" s="1"/>
  <c r="F192" i="3" s="1"/>
  <c r="K1907" i="1"/>
  <c r="K1903" i="1"/>
  <c r="K1904" i="1" s="1"/>
  <c r="H191" i="3" s="1"/>
  <c r="I1880" i="1"/>
  <c r="I1870" i="1" s="1"/>
  <c r="K1878" i="1"/>
  <c r="F174" i="3" l="1"/>
  <c r="H174" i="3" s="1"/>
  <c r="K1880" i="1"/>
  <c r="K1919" i="1"/>
  <c r="K1920" i="1" s="1"/>
  <c r="H194" i="3" s="1"/>
  <c r="K1915" i="1"/>
  <c r="H193" i="3" s="1"/>
  <c r="K1908" i="1"/>
  <c r="K1909" i="1" s="1"/>
  <c r="H192" i="3" s="1"/>
  <c r="I1904" i="1"/>
  <c r="I1882" i="1" s="1"/>
  <c r="K1879" i="1"/>
  <c r="I1344" i="1"/>
  <c r="I1332" i="1"/>
  <c r="K1331" i="1"/>
  <c r="K1330" i="1"/>
  <c r="K1319" i="1"/>
  <c r="I1159" i="1"/>
  <c r="I1160" i="1" s="1"/>
  <c r="K1158" i="1"/>
  <c r="I1830" i="1"/>
  <c r="I1831" i="1" s="1"/>
  <c r="F140" i="3" s="1"/>
  <c r="K1829" i="1"/>
  <c r="K1882" i="1" l="1"/>
  <c r="F191" i="3"/>
  <c r="K1831" i="1"/>
  <c r="H140" i="3" s="1"/>
  <c r="I1333" i="1"/>
  <c r="I1323" i="1" s="1"/>
  <c r="K1332" i="1"/>
  <c r="K1333" i="1" s="1"/>
  <c r="K1159" i="1"/>
  <c r="I1161" i="1"/>
  <c r="K1160" i="1"/>
  <c r="K1161" i="1" s="1"/>
  <c r="H188" i="3" s="1"/>
  <c r="K1830" i="1"/>
  <c r="F188" i="3" l="1"/>
  <c r="F83" i="3"/>
  <c r="I2205" i="1"/>
  <c r="I2206" i="1" s="1"/>
  <c r="K2204" i="1"/>
  <c r="H83" i="3" l="1"/>
  <c r="I2207" i="1"/>
  <c r="F62" i="3" s="1"/>
  <c r="H62" i="3" s="1"/>
  <c r="K2206" i="1"/>
  <c r="K2207" i="1" s="1"/>
  <c r="K2205" i="1"/>
  <c r="I2269" i="1"/>
  <c r="K1804" i="1"/>
  <c r="K1517" i="1"/>
  <c r="I1763" i="1"/>
  <c r="F129" i="3" s="1"/>
  <c r="K1761" i="1"/>
  <c r="I1756" i="1"/>
  <c r="I1757" i="1" s="1"/>
  <c r="F128" i="3" s="1"/>
  <c r="K1755" i="1"/>
  <c r="I1695" i="1"/>
  <c r="I1696" i="1" s="1"/>
  <c r="F117" i="3" s="1"/>
  <c r="K1694" i="1"/>
  <c r="I1691" i="1"/>
  <c r="F116" i="3" s="1"/>
  <c r="K1689" i="1"/>
  <c r="I1685" i="1"/>
  <c r="I1686" i="1" s="1"/>
  <c r="F115" i="3" s="1"/>
  <c r="K1684" i="1"/>
  <c r="I1675" i="1"/>
  <c r="I1676" i="1" s="1"/>
  <c r="F113" i="3" s="1"/>
  <c r="K1674" i="1"/>
  <c r="K1630" i="1"/>
  <c r="K1629" i="1"/>
  <c r="I1608" i="1"/>
  <c r="I1609" i="1" s="1"/>
  <c r="F101" i="3" s="1"/>
  <c r="K1607" i="1"/>
  <c r="K1602" i="1"/>
  <c r="I1603" i="1"/>
  <c r="K1603" i="1" s="1"/>
  <c r="I1593" i="1"/>
  <c r="I1594" i="1" s="1"/>
  <c r="K1592" i="1"/>
  <c r="K1586" i="1"/>
  <c r="I1510" i="1"/>
  <c r="I1511" i="1" s="1"/>
  <c r="F44" i="3" s="1"/>
  <c r="H44" i="3" s="1"/>
  <c r="K1509" i="1"/>
  <c r="I1493" i="1"/>
  <c r="I1494" i="1" s="1"/>
  <c r="F41" i="3" s="1"/>
  <c r="K1492" i="1"/>
  <c r="I1488" i="1"/>
  <c r="I1489" i="1" s="1"/>
  <c r="F40" i="3" s="1"/>
  <c r="H40" i="3" s="1"/>
  <c r="K1487" i="1"/>
  <c r="I1484" i="1"/>
  <c r="F39" i="3" s="1"/>
  <c r="H39" i="3" s="1"/>
  <c r="K1482" i="1"/>
  <c r="I1471" i="1"/>
  <c r="I1472" i="1" s="1"/>
  <c r="F37" i="3" s="1"/>
  <c r="H37" i="3" s="1"/>
  <c r="K1470" i="1"/>
  <c r="I1466" i="1"/>
  <c r="I1467" i="1" s="1"/>
  <c r="F36" i="3" s="1"/>
  <c r="H36" i="3" s="1"/>
  <c r="K1465" i="1"/>
  <c r="I1449" i="1"/>
  <c r="I1450" i="1" s="1"/>
  <c r="F33" i="3" s="1"/>
  <c r="H33" i="3" s="1"/>
  <c r="K1448" i="1"/>
  <c r="I1444" i="1"/>
  <c r="I1445" i="1" s="1"/>
  <c r="F32" i="3" s="1"/>
  <c r="H32" i="3" s="1"/>
  <c r="K1443" i="1"/>
  <c r="F31" i="3"/>
  <c r="H31" i="3" s="1"/>
  <c r="K1432" i="1"/>
  <c r="I1433" i="1"/>
  <c r="I1434" i="1" s="1"/>
  <c r="F30" i="3" s="1"/>
  <c r="H30" i="3" s="1"/>
  <c r="I1428" i="1"/>
  <c r="I1429" i="1" s="1"/>
  <c r="F29" i="3" s="1"/>
  <c r="K1427" i="1"/>
  <c r="K1356" i="1"/>
  <c r="K1357" i="1" s="1"/>
  <c r="K1354" i="1"/>
  <c r="F136" i="3" l="1"/>
  <c r="F98" i="3"/>
  <c r="K1686" i="1"/>
  <c r="H115" i="3" s="1"/>
  <c r="K1696" i="1"/>
  <c r="H117" i="3" s="1"/>
  <c r="K1757" i="1"/>
  <c r="H128" i="3" s="1"/>
  <c r="K1609" i="1"/>
  <c r="H101" i="3" s="1"/>
  <c r="K1676" i="1"/>
  <c r="H113" i="3" s="1"/>
  <c r="K1691" i="1"/>
  <c r="H116" i="3" s="1"/>
  <c r="K1763" i="1"/>
  <c r="H129" i="3" s="1"/>
  <c r="H136" i="3"/>
  <c r="I2271" i="1"/>
  <c r="K1519" i="1"/>
  <c r="K1805" i="1"/>
  <c r="K1516" i="1"/>
  <c r="I1631" i="1"/>
  <c r="F105" i="3" s="1"/>
  <c r="I1604" i="1"/>
  <c r="F100" i="3" s="1"/>
  <c r="K1433" i="1"/>
  <c r="K1434" i="1" s="1"/>
  <c r="K1762" i="1"/>
  <c r="K1756" i="1"/>
  <c r="K1695" i="1"/>
  <c r="K1690" i="1"/>
  <c r="K1685" i="1"/>
  <c r="K1675" i="1"/>
  <c r="K1608" i="1"/>
  <c r="K1593" i="1"/>
  <c r="K1594" i="1" s="1"/>
  <c r="H98" i="3" s="1"/>
  <c r="K1510" i="1"/>
  <c r="K1511" i="1" s="1"/>
  <c r="K1493" i="1"/>
  <c r="K1494" i="1" s="1"/>
  <c r="H41" i="3" s="1"/>
  <c r="K1488" i="1"/>
  <c r="K1489" i="1" s="1"/>
  <c r="K1483" i="1"/>
  <c r="K1484" i="1" s="1"/>
  <c r="K1471" i="1"/>
  <c r="K1472" i="1" s="1"/>
  <c r="K1466" i="1"/>
  <c r="K1467" i="1" s="1"/>
  <c r="K1449" i="1"/>
  <c r="K1450" i="1" s="1"/>
  <c r="K1444" i="1"/>
  <c r="K1445" i="1" s="1"/>
  <c r="K1438" i="1"/>
  <c r="K1428" i="1"/>
  <c r="K1429" i="1" s="1"/>
  <c r="H29" i="3" s="1"/>
  <c r="I1051" i="1"/>
  <c r="I1053" i="1" s="1"/>
  <c r="I1059" i="1" s="1"/>
  <c r="K1037" i="1"/>
  <c r="K838" i="1"/>
  <c r="I762" i="1"/>
  <c r="J219" i="1"/>
  <c r="J218" i="1"/>
  <c r="J217" i="1"/>
  <c r="J216" i="1"/>
  <c r="J214" i="1"/>
  <c r="J213" i="1"/>
  <c r="J212" i="1"/>
  <c r="J211" i="1"/>
  <c r="J208" i="1"/>
  <c r="J207" i="1"/>
  <c r="J204" i="1"/>
  <c r="K1604" i="1" l="1"/>
  <c r="H100" i="3" s="1"/>
  <c r="K1631" i="1"/>
  <c r="H105" i="3" s="1"/>
  <c r="K1053" i="1"/>
  <c r="I1056" i="1"/>
  <c r="K219" i="1"/>
  <c r="I2197" i="1" l="1"/>
  <c r="I2198" i="1" s="1"/>
  <c r="K2196" i="1"/>
  <c r="K2222" i="1"/>
  <c r="I2223" i="1"/>
  <c r="K2223" i="1" s="1"/>
  <c r="K2225" i="1"/>
  <c r="K773" i="1"/>
  <c r="I770" i="1"/>
  <c r="I772" i="1" s="1"/>
  <c r="I775" i="1" s="1"/>
  <c r="K769" i="1"/>
  <c r="K770" i="1" s="1"/>
  <c r="K765" i="1"/>
  <c r="I764" i="1"/>
  <c r="I766" i="1" s="1"/>
  <c r="K761" i="1"/>
  <c r="K762" i="1" s="1"/>
  <c r="K2344" i="1"/>
  <c r="I1423" i="1"/>
  <c r="I1424" i="1" s="1"/>
  <c r="F28" i="3" s="1"/>
  <c r="K1422" i="1"/>
  <c r="I1411" i="1"/>
  <c r="I1412" i="1" s="1"/>
  <c r="F26" i="3" s="1"/>
  <c r="K1410" i="1"/>
  <c r="I1407" i="1"/>
  <c r="K1405" i="1"/>
  <c r="K1401" i="1"/>
  <c r="K1402" i="1" s="1"/>
  <c r="H24" i="3" s="1"/>
  <c r="K1400" i="1"/>
  <c r="K1574" i="1"/>
  <c r="I1576" i="1"/>
  <c r="I1542" i="1" s="1"/>
  <c r="I756" i="1" l="1"/>
  <c r="I1359" i="1"/>
  <c r="F88" i="3"/>
  <c r="H88" i="3" s="1"/>
  <c r="F25" i="3"/>
  <c r="F95" i="3"/>
  <c r="I2224" i="1"/>
  <c r="I2239" i="1" s="1"/>
  <c r="I2242" i="1" s="1"/>
  <c r="K2242" i="1" s="1"/>
  <c r="I2199" i="1"/>
  <c r="F61" i="3" s="1"/>
  <c r="H61" i="3" s="1"/>
  <c r="K2198" i="1"/>
  <c r="K2199" i="1" s="1"/>
  <c r="K2197" i="1"/>
  <c r="K764" i="1"/>
  <c r="K766" i="1" s="1"/>
  <c r="K1575" i="1"/>
  <c r="K1576" i="1" s="1"/>
  <c r="H95" i="3" s="1"/>
  <c r="K1423" i="1"/>
  <c r="K1424" i="1" s="1"/>
  <c r="H28" i="3" s="1"/>
  <c r="K1411" i="1"/>
  <c r="K1412" i="1" s="1"/>
  <c r="H26" i="3" s="1"/>
  <c r="K1406" i="1"/>
  <c r="K1407" i="1" s="1"/>
  <c r="H25" i="3" s="1"/>
  <c r="K756" i="1" l="1"/>
  <c r="F89" i="3"/>
  <c r="K772" i="1"/>
  <c r="I1321" i="1"/>
  <c r="K2224" i="1"/>
  <c r="K2226" i="1" s="1"/>
  <c r="I2226" i="1"/>
  <c r="F64" i="3" s="1"/>
  <c r="H64" i="3" s="1"/>
  <c r="K677" i="1"/>
  <c r="K676" i="1"/>
  <c r="I679" i="1"/>
  <c r="I686" i="1" s="1"/>
  <c r="I1311" i="1" l="1"/>
  <c r="F11" i="3"/>
  <c r="H11" i="3" s="1"/>
  <c r="K775" i="1"/>
  <c r="H89" i="3" s="1"/>
  <c r="F70" i="3"/>
  <c r="F215" i="3"/>
  <c r="K679" i="1"/>
  <c r="H215" i="3" s="1"/>
  <c r="I713" i="1"/>
  <c r="F219" i="3" s="1"/>
  <c r="H219" i="3" s="1"/>
  <c r="K711" i="1"/>
  <c r="K713" i="1" s="1"/>
  <c r="K361" i="1"/>
  <c r="K347" i="1"/>
  <c r="I349" i="1"/>
  <c r="K362" i="1" l="1"/>
  <c r="I362" i="1"/>
  <c r="I363" i="1" l="1"/>
  <c r="K2293" i="1"/>
  <c r="I281" i="1"/>
  <c r="I896" i="1"/>
  <c r="K896" i="1" s="1"/>
  <c r="K363" i="1" l="1"/>
  <c r="K364" i="1" s="1"/>
  <c r="K2281" i="1"/>
  <c r="K2283" i="1" s="1"/>
  <c r="I364" i="1"/>
  <c r="F207" i="3" s="1"/>
  <c r="H207" i="3" s="1"/>
  <c r="K1084" i="1" l="1"/>
  <c r="K2268" i="1"/>
  <c r="K86" i="1" l="1"/>
  <c r="I515" i="1" l="1"/>
  <c r="K515" i="1" s="1"/>
  <c r="I507" i="1"/>
  <c r="I456" i="1"/>
  <c r="I398" i="1"/>
  <c r="I382" i="1"/>
  <c r="I384" i="1" s="1"/>
  <c r="I370" i="1"/>
  <c r="I354" i="1" s="1"/>
  <c r="I321" i="1"/>
  <c r="I885" i="1"/>
  <c r="K1224" i="1"/>
  <c r="K1992" i="1"/>
  <c r="I671" i="1"/>
  <c r="I673" i="1" s="1"/>
  <c r="F205" i="3" s="1"/>
  <c r="F149" i="3" l="1"/>
  <c r="I383" i="1"/>
  <c r="I672" i="1"/>
  <c r="K673" i="1"/>
  <c r="H205" i="3" s="1"/>
  <c r="K479" i="1"/>
  <c r="K882" i="1"/>
  <c r="I687" i="1" l="1"/>
  <c r="I688" i="1" s="1"/>
  <c r="I897" i="1"/>
  <c r="I849" i="1" s="1"/>
  <c r="K895" i="1"/>
  <c r="F151" i="3" l="1"/>
  <c r="F148" i="3" s="1"/>
  <c r="K897" i="1"/>
  <c r="H151" i="3" s="1"/>
  <c r="I323" i="1"/>
  <c r="I210" i="1" l="1"/>
  <c r="K1208" i="1"/>
  <c r="I30" i="1" l="1"/>
  <c r="K42" i="1"/>
  <c r="J157" i="1" s="1"/>
  <c r="I58" i="1"/>
  <c r="K58" i="1" s="1"/>
  <c r="K30" i="1" l="1"/>
  <c r="I841" i="1"/>
  <c r="M30" i="1" l="1"/>
  <c r="J156" i="1"/>
  <c r="I840" i="1"/>
  <c r="F71" i="3"/>
  <c r="I814" i="1"/>
  <c r="I816" i="1" s="1"/>
  <c r="I843" i="1" l="1"/>
  <c r="I847" i="1" s="1"/>
  <c r="I786" i="1" s="1"/>
  <c r="H71" i="3"/>
  <c r="F69" i="3"/>
  <c r="J834" i="1"/>
  <c r="G70" i="3" s="1"/>
  <c r="G68" i="3" s="1"/>
  <c r="H70" i="3" l="1"/>
  <c r="H69" i="3"/>
  <c r="H68" i="3" s="1"/>
  <c r="F68" i="3"/>
  <c r="K72" i="1"/>
  <c r="I69" i="1"/>
  <c r="K69" i="1" s="1"/>
  <c r="J68" i="1" l="1"/>
  <c r="J63" i="1" l="1"/>
  <c r="K63" i="1" s="1"/>
  <c r="K2040" i="1"/>
  <c r="K411" i="1" l="1"/>
  <c r="I409" i="1"/>
  <c r="I410" i="1" s="1"/>
  <c r="K408" i="1"/>
  <c r="K409" i="1" s="1"/>
  <c r="I577" i="1" l="1"/>
  <c r="I580" i="1"/>
  <c r="I421" i="1"/>
  <c r="I1088" i="1"/>
  <c r="I1095" i="1" s="1"/>
  <c r="I1090" i="1" s="1"/>
  <c r="J1051" i="1"/>
  <c r="J1054" i="1" s="1"/>
  <c r="J1056" i="1" s="1"/>
  <c r="K698" i="1"/>
  <c r="K580" i="1" l="1"/>
  <c r="I545" i="1"/>
  <c r="K545" i="1" s="1"/>
  <c r="F204" i="3"/>
  <c r="I412" i="1"/>
  <c r="I405" i="1" s="1"/>
  <c r="K410" i="1"/>
  <c r="K412" i="1" s="1"/>
  <c r="H210" i="3" s="1"/>
  <c r="K577" i="1"/>
  <c r="I1225" i="1"/>
  <c r="F166" i="3" s="1"/>
  <c r="J1038" i="1"/>
  <c r="H204" i="3" l="1"/>
  <c r="F210" i="3"/>
  <c r="K1038" i="1"/>
  <c r="I1223" i="1"/>
  <c r="K1225" i="1"/>
  <c r="H166" i="3" s="1"/>
  <c r="J885" i="1"/>
  <c r="G149" i="3" s="1"/>
  <c r="G148" i="3" s="1"/>
  <c r="J1103" i="1"/>
  <c r="G177" i="3" s="1"/>
  <c r="K2339" i="1"/>
  <c r="K2315" i="1"/>
  <c r="I2308" i="1"/>
  <c r="K2308" i="1" s="1"/>
  <c r="K2307" i="1"/>
  <c r="I2091" i="1"/>
  <c r="K2090" i="1"/>
  <c r="K2091" i="1" s="1"/>
  <c r="K1055" i="1"/>
  <c r="I1103" i="1"/>
  <c r="I1061" i="1"/>
  <c r="I2095" i="1" l="1"/>
  <c r="I2093" i="1"/>
  <c r="H148" i="3"/>
  <c r="K883" i="1"/>
  <c r="K885" i="1" s="1"/>
  <c r="H149" i="3" s="1"/>
  <c r="J849" i="1"/>
  <c r="K849" i="1" s="1"/>
  <c r="I1062" i="1"/>
  <c r="I1137" i="1"/>
  <c r="I1108" i="1"/>
  <c r="I1105" i="1" s="1"/>
  <c r="I2317" i="1"/>
  <c r="I2309" i="1"/>
  <c r="K2316" i="1"/>
  <c r="K2317" i="1" s="1"/>
  <c r="H15" i="3" s="1"/>
  <c r="K1515" i="1"/>
  <c r="K2095" i="1" l="1"/>
  <c r="F15" i="3"/>
  <c r="K2093" i="1"/>
  <c r="I2310" i="1"/>
  <c r="I2285" i="1" s="1"/>
  <c r="K2309" i="1"/>
  <c r="K2310" i="1" s="1"/>
  <c r="H14" i="3" s="1"/>
  <c r="K1082" i="1"/>
  <c r="K824" i="1"/>
  <c r="K2285" i="1" l="1"/>
  <c r="F14" i="3"/>
  <c r="J210" i="1"/>
  <c r="K210" i="1" s="1"/>
  <c r="I2345" i="1" l="1"/>
  <c r="I2348" i="1" s="1"/>
  <c r="I2346" i="1" s="1"/>
  <c r="K875" i="1" l="1"/>
  <c r="K468" i="1" l="1"/>
  <c r="K320" i="1"/>
  <c r="K319" i="1"/>
  <c r="K318" i="1"/>
  <c r="K317" i="1"/>
  <c r="K316" i="1"/>
  <c r="K315" i="1"/>
  <c r="K314" i="1"/>
  <c r="K313" i="1"/>
  <c r="K312" i="1"/>
  <c r="K311" i="1"/>
  <c r="K310" i="1"/>
  <c r="I324" i="1" l="1"/>
  <c r="I303" i="1" s="1"/>
  <c r="K321" i="1"/>
  <c r="I326" i="1" l="1"/>
  <c r="I327" i="1" s="1"/>
  <c r="F206" i="3" s="1"/>
  <c r="K323" i="1"/>
  <c r="K324" i="1" s="1"/>
  <c r="K303" i="1" s="1"/>
  <c r="K84" i="1"/>
  <c r="K326" i="1" l="1"/>
  <c r="K327" i="1" s="1"/>
  <c r="H206" i="3" s="1"/>
  <c r="K78" i="1" l="1"/>
  <c r="J83" i="1"/>
  <c r="K83" i="1" s="1"/>
  <c r="I37" i="1" l="1"/>
  <c r="I50" i="1"/>
  <c r="K50" i="1" s="1"/>
  <c r="I52" i="1"/>
  <c r="K52" i="1" s="1"/>
  <c r="J163" i="1" s="1"/>
  <c r="I55" i="1"/>
  <c r="I75" i="1"/>
  <c r="I85" i="1"/>
  <c r="J75" i="1"/>
  <c r="K74" i="1"/>
  <c r="J73" i="1"/>
  <c r="K73" i="1" s="1"/>
  <c r="K68" i="1"/>
  <c r="J77" i="1"/>
  <c r="I90" i="1" l="1"/>
  <c r="K85" i="1"/>
  <c r="J165" i="1" s="1"/>
  <c r="K77" i="1"/>
  <c r="K75" i="1"/>
  <c r="J159" i="1" s="1"/>
  <c r="K37" i="1"/>
  <c r="J155" i="1" l="1"/>
  <c r="J158" i="1"/>
  <c r="K56" i="1"/>
  <c r="I1122" i="1" l="1"/>
  <c r="K1120" i="1"/>
  <c r="K116" i="1" s="1"/>
  <c r="I1123" i="1" l="1"/>
  <c r="F181" i="3" s="1"/>
  <c r="K1122" i="1"/>
  <c r="K1123" i="1" s="1"/>
  <c r="H181" i="3" s="1"/>
  <c r="K1121" i="1"/>
  <c r="K1138" i="1" l="1"/>
  <c r="K1088" i="1"/>
  <c r="J1108" i="1"/>
  <c r="K1107" i="1"/>
  <c r="I423" i="1" l="1"/>
  <c r="K830" i="1"/>
  <c r="K1137" i="1" l="1"/>
  <c r="K1347" i="1" l="1"/>
  <c r="K2235" i="1"/>
  <c r="K59" i="1" l="1"/>
  <c r="J160" i="1" s="1"/>
  <c r="K61" i="1"/>
  <c r="K62" i="1"/>
  <c r="J161" i="1" l="1"/>
  <c r="K694" i="1"/>
  <c r="I968" i="1" l="1"/>
  <c r="I934" i="1"/>
  <c r="I118" i="1" l="1"/>
  <c r="K1049" i="1"/>
  <c r="K1050" i="1"/>
  <c r="K1048" i="1"/>
  <c r="K1023" i="1"/>
  <c r="K1024" i="1"/>
  <c r="K1025" i="1"/>
  <c r="K1026" i="1"/>
  <c r="K1027" i="1"/>
  <c r="K1028" i="1"/>
  <c r="K1029" i="1"/>
  <c r="K1031" i="1"/>
  <c r="K1032" i="1"/>
  <c r="K1033" i="1"/>
  <c r="K1034" i="1"/>
  <c r="K1035" i="1"/>
  <c r="K1036" i="1"/>
  <c r="K1022" i="1"/>
  <c r="K1042" i="1"/>
  <c r="K2102" i="1"/>
  <c r="I2103" i="1"/>
  <c r="I117" i="1" l="1"/>
  <c r="K117" i="1" s="1"/>
  <c r="K1061" i="1"/>
  <c r="K139" i="1"/>
  <c r="K137" i="1"/>
  <c r="K135" i="1"/>
  <c r="K141" i="1"/>
  <c r="K1051" i="1"/>
  <c r="K1040" i="1"/>
  <c r="K76" i="1"/>
  <c r="K70" i="1"/>
  <c r="K71" i="1"/>
  <c r="K65" i="1"/>
  <c r="K66" i="1"/>
  <c r="K67" i="1"/>
  <c r="J176" i="1" l="1"/>
  <c r="I143" i="1"/>
  <c r="J190" i="1"/>
  <c r="J182" i="1"/>
  <c r="J183" i="1" s="1"/>
  <c r="K1059" i="1"/>
  <c r="K114" i="1"/>
  <c r="J171" i="1" s="1"/>
  <c r="J55" i="1"/>
  <c r="J90" i="1" s="1"/>
  <c r="K90" i="1" l="1"/>
  <c r="M81" i="1" s="1"/>
  <c r="K55" i="1"/>
  <c r="K57" i="1"/>
  <c r="K53" i="1"/>
  <c r="K51" i="1"/>
  <c r="K44" i="1"/>
  <c r="K45" i="1"/>
  <c r="K46" i="1"/>
  <c r="K47" i="1"/>
  <c r="K48" i="1"/>
  <c r="K49" i="1"/>
  <c r="K38" i="1"/>
  <c r="K39" i="1"/>
  <c r="K40" i="1"/>
  <c r="K41" i="1"/>
  <c r="K31" i="1"/>
  <c r="K32" i="1"/>
  <c r="K33" i="1"/>
  <c r="K34" i="1"/>
  <c r="K35" i="1"/>
  <c r="K36" i="1"/>
  <c r="J164" i="1" l="1"/>
  <c r="J154" i="1"/>
  <c r="M79" i="1"/>
  <c r="M87" i="1"/>
  <c r="M58" i="1"/>
  <c r="M42" i="1"/>
  <c r="M69" i="1"/>
  <c r="M63" i="1"/>
  <c r="M83" i="1"/>
  <c r="M73" i="1"/>
  <c r="M50" i="1"/>
  <c r="M52" i="1"/>
  <c r="M77" i="1"/>
  <c r="M85" i="1"/>
  <c r="M75" i="1"/>
  <c r="M37" i="1"/>
  <c r="M55" i="1"/>
  <c r="J153" i="1"/>
  <c r="K936" i="1"/>
  <c r="K937" i="1"/>
  <c r="K938" i="1"/>
  <c r="K939" i="1"/>
  <c r="K940" i="1"/>
  <c r="K941" i="1"/>
  <c r="M90" i="1" l="1"/>
  <c r="K422" i="1"/>
  <c r="K381" i="1"/>
  <c r="K1243" i="1" l="1"/>
  <c r="I1244" i="1"/>
  <c r="K478" i="1"/>
  <c r="K432" i="1"/>
  <c r="K2330" i="1"/>
  <c r="K2240" i="1"/>
  <c r="K2345" i="1" l="1"/>
  <c r="K1244" i="1"/>
  <c r="K2230" i="1"/>
  <c r="K2113" i="1"/>
  <c r="F65" i="3" l="1"/>
  <c r="H65" i="3" s="1"/>
  <c r="K2234" i="1"/>
  <c r="K2114" i="1"/>
  <c r="K2280" i="1"/>
  <c r="K2292" i="1"/>
  <c r="K2269" i="1"/>
  <c r="I2188" i="1"/>
  <c r="I2190" i="1" s="1"/>
  <c r="K2190" i="1" s="1"/>
  <c r="K2191" i="1" s="1"/>
  <c r="K2176" i="1"/>
  <c r="I2177" i="1"/>
  <c r="K2131" i="1"/>
  <c r="K2125" i="1"/>
  <c r="K2122" i="1"/>
  <c r="I2016" i="1"/>
  <c r="I2027" i="1"/>
  <c r="I2029" i="1" s="1"/>
  <c r="I1988" i="1"/>
  <c r="I1989" i="1" s="1"/>
  <c r="K2075" i="1"/>
  <c r="K2078" i="1" s="1"/>
  <c r="I2038" i="1"/>
  <c r="K2037" i="1"/>
  <c r="I2170" i="1" l="1"/>
  <c r="J205" i="1"/>
  <c r="I2179" i="1"/>
  <c r="I2018" i="1"/>
  <c r="I2019" i="1" s="1"/>
  <c r="I2041" i="1"/>
  <c r="I2032" i="1" s="1"/>
  <c r="I1994" i="1"/>
  <c r="I1980" i="1" s="1"/>
  <c r="K2132" i="1"/>
  <c r="K2123" i="1"/>
  <c r="K2188" i="1"/>
  <c r="I2104" i="1"/>
  <c r="K2038" i="1"/>
  <c r="K2177" i="1"/>
  <c r="K2103" i="1"/>
  <c r="K2104" i="1" s="1"/>
  <c r="K1988" i="1"/>
  <c r="K1989" i="1" s="1"/>
  <c r="I2005" i="1" l="1"/>
  <c r="I1991" i="1"/>
  <c r="K1991" i="1" s="1"/>
  <c r="I203" i="1"/>
  <c r="F50" i="3"/>
  <c r="F8" i="3"/>
  <c r="F7" i="3" s="1"/>
  <c r="H7" i="3" s="1"/>
  <c r="K2032" i="1"/>
  <c r="K2018" i="1"/>
  <c r="K2019" i="1" s="1"/>
  <c r="K2039" i="1"/>
  <c r="K2041" i="1" s="1"/>
  <c r="I2106" i="1"/>
  <c r="K2106" i="1" s="1"/>
  <c r="K2107" i="1" s="1"/>
  <c r="J209" i="1"/>
  <c r="J203" i="1"/>
  <c r="K1994" i="1"/>
  <c r="K2239" i="1"/>
  <c r="F10" i="3" l="1"/>
  <c r="H10" i="3" s="1"/>
  <c r="I2002" i="1"/>
  <c r="K2002" i="1" s="1"/>
  <c r="K2005" i="1"/>
  <c r="K1980" i="1"/>
  <c r="H8" i="3"/>
  <c r="H50" i="3"/>
  <c r="I2107" i="1"/>
  <c r="K203" i="1"/>
  <c r="K2026" i="1"/>
  <c r="K127" i="1"/>
  <c r="K1343" i="1"/>
  <c r="K1342" i="1"/>
  <c r="F74" i="3" l="1"/>
  <c r="H74" i="3" s="1"/>
  <c r="K2027" i="1"/>
  <c r="K1318" i="1"/>
  <c r="K2015" i="1" l="1"/>
  <c r="I1298" i="1"/>
  <c r="I1306" i="1" s="1"/>
  <c r="K1297" i="1"/>
  <c r="K119" i="1" s="1"/>
  <c r="I1233" i="1"/>
  <c r="K1252" i="1"/>
  <c r="I1253" i="1"/>
  <c r="K1220" i="1"/>
  <c r="K1217" i="1"/>
  <c r="K1218" i="1"/>
  <c r="K1216" i="1"/>
  <c r="I1307" i="1" l="1"/>
  <c r="I1291" i="1" s="1"/>
  <c r="I1235" i="1"/>
  <c r="I1255" i="1"/>
  <c r="K1255" i="1" s="1"/>
  <c r="K1256" i="1" s="1"/>
  <c r="H168" i="3" s="1"/>
  <c r="K1223" i="1"/>
  <c r="K1221" i="1"/>
  <c r="K2016" i="1"/>
  <c r="K1298" i="1"/>
  <c r="K1233" i="1"/>
  <c r="K1253" i="1"/>
  <c r="K1203" i="1"/>
  <c r="K1202" i="1"/>
  <c r="K1190" i="1"/>
  <c r="K1178" i="1"/>
  <c r="K1180" i="1" s="1"/>
  <c r="I1150" i="1"/>
  <c r="K1149" i="1"/>
  <c r="K1091" i="1"/>
  <c r="K1092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3" i="1"/>
  <c r="K1085" i="1"/>
  <c r="K1087" i="1"/>
  <c r="K136" i="1" s="1"/>
  <c r="K1100" i="1"/>
  <c r="K1101" i="1"/>
  <c r="K1102" i="1"/>
  <c r="K1069" i="1"/>
  <c r="K1007" i="1"/>
  <c r="K823" i="1"/>
  <c r="K825" i="1"/>
  <c r="K822" i="1"/>
  <c r="K828" i="1" s="1"/>
  <c r="K1204" i="1" l="1"/>
  <c r="F173" i="3"/>
  <c r="F172" i="3" s="1"/>
  <c r="K1291" i="1"/>
  <c r="I1152" i="1"/>
  <c r="I1153" i="1" s="1"/>
  <c r="I1142" i="1" s="1"/>
  <c r="I1256" i="1"/>
  <c r="F168" i="3" s="1"/>
  <c r="K1306" i="1"/>
  <c r="K1307" i="1"/>
  <c r="H173" i="3" s="1"/>
  <c r="H172" i="3" s="1"/>
  <c r="K115" i="1"/>
  <c r="K1103" i="1"/>
  <c r="K1113" i="1"/>
  <c r="K1142" i="1" l="1"/>
  <c r="F185" i="3"/>
  <c r="H185" i="3" s="1"/>
  <c r="K671" i="1"/>
  <c r="K839" i="1"/>
  <c r="K133" i="1" s="1"/>
  <c r="K837" i="1"/>
  <c r="K972" i="1"/>
  <c r="K974" i="1"/>
  <c r="K976" i="1"/>
  <c r="K977" i="1"/>
  <c r="K978" i="1"/>
  <c r="K979" i="1"/>
  <c r="K980" i="1"/>
  <c r="K981" i="1"/>
  <c r="K982" i="1"/>
  <c r="K983" i="1"/>
  <c r="K942" i="1"/>
  <c r="K943" i="1"/>
  <c r="K944" i="1"/>
  <c r="K945" i="1"/>
  <c r="K946" i="1"/>
  <c r="K947" i="1"/>
  <c r="K948" i="1"/>
  <c r="K949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110" i="1" s="1"/>
  <c r="K870" i="1"/>
  <c r="K871" i="1"/>
  <c r="K872" i="1"/>
  <c r="K873" i="1"/>
  <c r="K874" i="1"/>
  <c r="K876" i="1"/>
  <c r="K878" i="1"/>
  <c r="I434" i="1"/>
  <c r="K879" i="1" l="1"/>
  <c r="K841" i="1"/>
  <c r="K934" i="1"/>
  <c r="K968" i="1"/>
  <c r="K984" i="1"/>
  <c r="K434" i="1"/>
  <c r="K435" i="1" s="1"/>
  <c r="K831" i="1"/>
  <c r="K834" i="1" s="1"/>
  <c r="I435" i="1"/>
  <c r="K140" i="1"/>
  <c r="J191" i="1" s="1"/>
  <c r="J192" i="1" s="1"/>
  <c r="K1008" i="1"/>
  <c r="I1008" i="1"/>
  <c r="I697" i="1"/>
  <c r="K704" i="1"/>
  <c r="I706" i="1"/>
  <c r="I645" i="1" s="1"/>
  <c r="K693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125" i="1" s="1"/>
  <c r="K568" i="1"/>
  <c r="K126" i="1" s="1"/>
  <c r="K570" i="1"/>
  <c r="K571" i="1"/>
  <c r="K132" i="1" s="1"/>
  <c r="K572" i="1"/>
  <c r="K134" i="1" s="1"/>
  <c r="K573" i="1"/>
  <c r="K138" i="1" s="1"/>
  <c r="K574" i="1"/>
  <c r="K142" i="1" s="1"/>
  <c r="K552" i="1"/>
  <c r="K506" i="1"/>
  <c r="K504" i="1"/>
  <c r="K455" i="1"/>
  <c r="K438" i="1"/>
  <c r="K433" i="1"/>
  <c r="K382" i="1"/>
  <c r="K369" i="1"/>
  <c r="K129" i="1" s="1"/>
  <c r="K338" i="1"/>
  <c r="K339" i="1"/>
  <c r="K340" i="1"/>
  <c r="K341" i="1"/>
  <c r="K342" i="1"/>
  <c r="K343" i="1"/>
  <c r="K344" i="1"/>
  <c r="K345" i="1"/>
  <c r="K346" i="1"/>
  <c r="K348" i="1"/>
  <c r="K337" i="1"/>
  <c r="K291" i="1"/>
  <c r="K292" i="1"/>
  <c r="K293" i="1"/>
  <c r="K290" i="1"/>
  <c r="K268" i="1"/>
  <c r="K269" i="1"/>
  <c r="K270" i="1"/>
  <c r="K271" i="1"/>
  <c r="K272" i="1"/>
  <c r="K273" i="1"/>
  <c r="K274" i="1"/>
  <c r="K275" i="1"/>
  <c r="K276" i="1"/>
  <c r="K277" i="1"/>
  <c r="K278" i="1"/>
  <c r="I734" i="1" l="1"/>
  <c r="K734" i="1" s="1"/>
  <c r="K645" i="1"/>
  <c r="F218" i="3"/>
  <c r="H218" i="3" s="1"/>
  <c r="I699" i="1"/>
  <c r="F217" i="3" s="1"/>
  <c r="H217" i="3" s="1"/>
  <c r="K99" i="1"/>
  <c r="K97" i="1"/>
  <c r="K98" i="1"/>
  <c r="K100" i="1"/>
  <c r="K120" i="1"/>
  <c r="K104" i="1"/>
  <c r="K96" i="1"/>
  <c r="K112" i="1"/>
  <c r="K118" i="1"/>
  <c r="K124" i="1"/>
  <c r="K101" i="1"/>
  <c r="K103" i="1"/>
  <c r="K113" i="1"/>
  <c r="K105" i="1"/>
  <c r="K456" i="1"/>
  <c r="K706" i="1"/>
  <c r="K398" i="1"/>
  <c r="K399" i="1" s="1"/>
  <c r="K400" i="1" s="1"/>
  <c r="K439" i="1"/>
  <c r="K421" i="1"/>
  <c r="I1010" i="1"/>
  <c r="K1010" i="1" s="1"/>
  <c r="K1011" i="1" s="1"/>
  <c r="K1000" i="1" s="1"/>
  <c r="K695" i="1"/>
  <c r="K507" i="1"/>
  <c r="K575" i="1"/>
  <c r="K370" i="1"/>
  <c r="K294" i="1"/>
  <c r="K279" i="1"/>
  <c r="K349" i="1"/>
  <c r="K423" i="1" l="1"/>
  <c r="K405" i="1" s="1"/>
  <c r="J206" i="1"/>
  <c r="K735" i="1"/>
  <c r="I735" i="1"/>
  <c r="K697" i="1"/>
  <c r="K699" i="1" s="1"/>
  <c r="I1011" i="1"/>
  <c r="I1000" i="1" l="1"/>
  <c r="I953" i="1"/>
  <c r="I954" i="1" s="1"/>
  <c r="I927" i="1" s="1"/>
  <c r="I987" i="1"/>
  <c r="I988" i="1" s="1"/>
  <c r="I961" i="1" s="1"/>
  <c r="F160" i="3" l="1"/>
  <c r="F159" i="3" s="1"/>
  <c r="K927" i="1"/>
  <c r="F157" i="3"/>
  <c r="F156" i="3" s="1"/>
  <c r="K987" i="1"/>
  <c r="K988" i="1" s="1"/>
  <c r="H160" i="3" s="1"/>
  <c r="H159" i="3" s="1"/>
  <c r="K131" i="1"/>
  <c r="K108" i="1"/>
  <c r="K106" i="1"/>
  <c r="I1345" i="1"/>
  <c r="I1335" i="1" s="1"/>
  <c r="K1344" i="1"/>
  <c r="K1345" i="1" s="1"/>
  <c r="H86" i="3" s="1"/>
  <c r="F86" i="3" l="1"/>
  <c r="I211" i="1"/>
  <c r="K211" i="1" s="1"/>
  <c r="K1323" i="1"/>
  <c r="K684" i="1"/>
  <c r="K686" i="1" s="1"/>
  <c r="I439" i="1"/>
  <c r="I440" i="1" s="1"/>
  <c r="I516" i="1"/>
  <c r="I508" i="1"/>
  <c r="I457" i="1"/>
  <c r="I433" i="1"/>
  <c r="I399" i="1"/>
  <c r="I371" i="1"/>
  <c r="I351" i="1"/>
  <c r="I522" i="1" s="1"/>
  <c r="I296" i="1"/>
  <c r="I402" i="1" l="1"/>
  <c r="I403" i="1" s="1"/>
  <c r="K1335" i="1"/>
  <c r="I282" i="1"/>
  <c r="I400" i="1"/>
  <c r="I374" i="1" s="1"/>
  <c r="K351" i="1"/>
  <c r="K352" i="1" s="1"/>
  <c r="K330" i="1" s="1"/>
  <c r="I519" i="1"/>
  <c r="I509" i="1"/>
  <c r="K508" i="1"/>
  <c r="K509" i="1" s="1"/>
  <c r="K457" i="1"/>
  <c r="K458" i="1" s="1"/>
  <c r="I460" i="1"/>
  <c r="K480" i="1"/>
  <c r="K481" i="1" s="1"/>
  <c r="I441" i="1"/>
  <c r="I425" i="1" s="1"/>
  <c r="K440" i="1"/>
  <c r="K441" i="1" s="1"/>
  <c r="K383" i="1"/>
  <c r="I458" i="1"/>
  <c r="K371" i="1"/>
  <c r="K372" i="1" s="1"/>
  <c r="I372" i="1"/>
  <c r="F208" i="3" s="1"/>
  <c r="I297" i="1"/>
  <c r="K296" i="1"/>
  <c r="K297" i="1" s="1"/>
  <c r="K516" i="1"/>
  <c r="K517" i="1" s="1"/>
  <c r="I352" i="1"/>
  <c r="I330" i="1" s="1"/>
  <c r="I260" i="1" l="1"/>
  <c r="F184" i="3"/>
  <c r="H184" i="3" s="1"/>
  <c r="F58" i="3"/>
  <c r="H58" i="3" s="1"/>
  <c r="K425" i="1"/>
  <c r="I542" i="1"/>
  <c r="F225" i="3" s="1"/>
  <c r="H225" i="3" s="1"/>
  <c r="H208" i="3"/>
  <c r="H203" i="3" s="1"/>
  <c r="F203" i="3"/>
  <c r="K374" i="1"/>
  <c r="I299" i="1"/>
  <c r="I300" i="1" s="1"/>
  <c r="F224" i="3" s="1"/>
  <c r="K384" i="1"/>
  <c r="K354" i="1"/>
  <c r="K281" i="1"/>
  <c r="K282" i="1" s="1"/>
  <c r="K260" i="1" s="1"/>
  <c r="I520" i="1"/>
  <c r="K519" i="1"/>
  <c r="K520" i="1" s="1"/>
  <c r="K498" i="1" s="1"/>
  <c r="I461" i="1"/>
  <c r="K460" i="1"/>
  <c r="K461" i="1" s="1"/>
  <c r="H178" i="3" s="1"/>
  <c r="K402" i="1"/>
  <c r="K403" i="1" s="1"/>
  <c r="F178" i="3" l="1"/>
  <c r="I218" i="1"/>
  <c r="K218" i="1" s="1"/>
  <c r="K541" i="1"/>
  <c r="K542" i="1" s="1"/>
  <c r="H224" i="3"/>
  <c r="H223" i="3" s="1"/>
  <c r="F223" i="3"/>
  <c r="K299" i="1"/>
  <c r="K300" i="1" s="1"/>
  <c r="I2114" i="1"/>
  <c r="I2116" i="1" l="1"/>
  <c r="I2117" i="1" s="1"/>
  <c r="I2272" i="1"/>
  <c r="I2261" i="1" s="1"/>
  <c r="F73" i="3" l="1"/>
  <c r="F84" i="3"/>
  <c r="F81" i="3" s="1"/>
  <c r="H81" i="3" s="1"/>
  <c r="K2116" i="1"/>
  <c r="K2117" i="1" s="1"/>
  <c r="H73" i="3" l="1"/>
  <c r="K2261" i="1"/>
  <c r="F76" i="3" l="1"/>
  <c r="H76" i="3" s="1"/>
  <c r="K2133" i="1"/>
  <c r="K107" i="1" l="1"/>
  <c r="K102" i="1" s="1"/>
  <c r="K1321" i="1"/>
  <c r="K1114" i="1"/>
  <c r="K143" i="1" l="1"/>
  <c r="J169" i="1"/>
  <c r="J167" i="1"/>
  <c r="K1311" i="1"/>
  <c r="J178" i="1" l="1"/>
  <c r="J177" i="1"/>
  <c r="O144" i="1"/>
  <c r="O143" i="1"/>
  <c r="I208" i="1"/>
  <c r="K208" i="1" s="1"/>
  <c r="I2191" i="1"/>
  <c r="F57" i="3" s="1"/>
  <c r="H57" i="3" s="1"/>
  <c r="I2180" i="1"/>
  <c r="F56" i="3" s="1"/>
  <c r="J179" i="1" l="1"/>
  <c r="J195" i="1"/>
  <c r="J196" i="1" s="1"/>
  <c r="F55" i="3"/>
  <c r="H56" i="3"/>
  <c r="H55" i="3" s="1"/>
  <c r="K2170" i="1"/>
  <c r="I205" i="1" l="1"/>
  <c r="K205" i="1" s="1"/>
  <c r="I2123" i="1"/>
  <c r="I1246" i="1"/>
  <c r="I1236" i="1"/>
  <c r="F164" i="3" s="1"/>
  <c r="H164" i="3" s="1"/>
  <c r="I1191" i="1"/>
  <c r="I2124" i="1" l="1"/>
  <c r="I2165" i="1" s="1"/>
  <c r="I2168" i="1" s="1"/>
  <c r="I1184" i="1"/>
  <c r="I1183" i="1"/>
  <c r="K1183" i="1" s="1"/>
  <c r="K1152" i="1"/>
  <c r="K1153" i="1" s="1"/>
  <c r="I1247" i="1"/>
  <c r="F165" i="3" s="1"/>
  <c r="H165" i="3" s="1"/>
  <c r="K1246" i="1"/>
  <c r="I2030" i="1"/>
  <c r="I2008" i="1" s="1"/>
  <c r="K2029" i="1"/>
  <c r="K2030" i="1" s="1"/>
  <c r="K1191" i="1"/>
  <c r="I1193" i="1"/>
  <c r="J1041" i="1"/>
  <c r="J1060" i="1" s="1"/>
  <c r="K2168" i="1" l="1"/>
  <c r="I2126" i="1"/>
  <c r="I2068" i="1" s="1"/>
  <c r="K2008" i="1"/>
  <c r="J1043" i="1"/>
  <c r="G176" i="3" s="1"/>
  <c r="G175" i="3" s="1"/>
  <c r="G230" i="3" s="1"/>
  <c r="J1136" i="1"/>
  <c r="J1140" i="1" s="1"/>
  <c r="I206" i="1"/>
  <c r="K1041" i="1"/>
  <c r="K1043" i="1" s="1"/>
  <c r="K1054" i="1"/>
  <c r="K1056" i="1" s="1"/>
  <c r="H177" i="3" s="1"/>
  <c r="K2124" i="1"/>
  <c r="I1194" i="1"/>
  <c r="I1172" i="1" s="1"/>
  <c r="K1193" i="1"/>
  <c r="K1194" i="1" s="1"/>
  <c r="K840" i="1"/>
  <c r="K2126" i="1" l="1"/>
  <c r="K2165" i="1"/>
  <c r="F75" i="3"/>
  <c r="F72" i="3" s="1"/>
  <c r="F163" i="3"/>
  <c r="F162" i="3" s="1"/>
  <c r="H162" i="3" s="1"/>
  <c r="K1870" i="1"/>
  <c r="I214" i="1"/>
  <c r="K214" i="1" s="1"/>
  <c r="K206" i="1"/>
  <c r="J1062" i="1"/>
  <c r="J1013" i="1" s="1"/>
  <c r="K1060" i="1"/>
  <c r="K1062" i="1" s="1"/>
  <c r="K1112" i="1"/>
  <c r="K814" i="1"/>
  <c r="K816" i="1" s="1"/>
  <c r="H75" i="3" l="1"/>
  <c r="J2354" i="1"/>
  <c r="K1136" i="1"/>
  <c r="K843" i="1"/>
  <c r="K847" i="1" s="1"/>
  <c r="K1150" i="1"/>
  <c r="K1232" i="1"/>
  <c r="I517" i="1"/>
  <c r="I498" i="1" s="1"/>
  <c r="I216" i="1" l="1"/>
  <c r="K216" i="1" s="1"/>
  <c r="F187" i="3"/>
  <c r="H72" i="3"/>
  <c r="K786" i="1"/>
  <c r="J215" i="1"/>
  <c r="J220" i="1" s="1"/>
  <c r="I481" i="1"/>
  <c r="F177" i="3" s="1"/>
  <c r="K522" i="1" l="1"/>
  <c r="K524" i="1" s="1"/>
  <c r="I524" i="1"/>
  <c r="H187" i="3"/>
  <c r="F183" i="3"/>
  <c r="H183" i="3" s="1"/>
  <c r="I496" i="1"/>
  <c r="I449" i="1" s="1"/>
  <c r="K495" i="1"/>
  <c r="K496" i="1" s="1"/>
  <c r="K1247" i="1"/>
  <c r="K1236" i="1"/>
  <c r="K1235" i="1"/>
  <c r="K1184" i="1"/>
  <c r="K2180" i="1"/>
  <c r="K2179" i="1"/>
  <c r="K449" i="1" l="1"/>
  <c r="K950" i="1"/>
  <c r="K953" i="1" s="1"/>
  <c r="K954" i="1" s="1"/>
  <c r="H157" i="3" s="1"/>
  <c r="H156" i="3" s="1"/>
  <c r="K1206" i="1" l="1"/>
  <c r="K1210" i="1"/>
  <c r="H163" i="3" s="1"/>
  <c r="K2271" i="1" l="1"/>
  <c r="K2272" i="1" l="1"/>
  <c r="H84" i="3" s="1"/>
  <c r="K672" i="1" l="1"/>
  <c r="K687" i="1" l="1"/>
  <c r="K688" i="1" s="1"/>
  <c r="I217" i="1"/>
  <c r="K217" i="1" l="1"/>
  <c r="K1105" i="1" l="1"/>
  <c r="K1108" i="1" s="1"/>
  <c r="K1587" i="1" l="1"/>
  <c r="I212" i="1" l="1"/>
  <c r="K212" i="1" s="1"/>
  <c r="K961" i="1"/>
  <c r="I207" i="1" l="1"/>
  <c r="K207" i="1" s="1"/>
  <c r="K2080" i="1"/>
  <c r="K2068" i="1"/>
  <c r="K1271" i="1"/>
  <c r="K1270" i="1"/>
  <c r="K122" i="1" s="1"/>
  <c r="I213" i="1" l="1"/>
  <c r="K213" i="1" s="1"/>
  <c r="K1172" i="1"/>
  <c r="K1273" i="1"/>
  <c r="K1274" i="1" s="1"/>
  <c r="H170" i="3" s="1"/>
  <c r="M121" i="1" l="1"/>
  <c r="J166" i="1" l="1"/>
  <c r="M135" i="1"/>
  <c r="M128" i="1"/>
  <c r="M141" i="1"/>
  <c r="M139" i="1"/>
  <c r="M137" i="1"/>
  <c r="M95" i="1"/>
  <c r="M109" i="1"/>
  <c r="M114" i="1"/>
  <c r="M117" i="1"/>
  <c r="M111" i="1"/>
  <c r="M123" i="1"/>
  <c r="M130" i="1"/>
  <c r="M102" i="1"/>
  <c r="M143" i="1" l="1"/>
  <c r="K1417" i="1"/>
  <c r="K1359" i="1" l="1"/>
  <c r="I204" i="1"/>
  <c r="K204" i="1" l="1"/>
  <c r="K1812" i="1"/>
  <c r="K1814" i="1"/>
  <c r="K1542" i="1" l="1"/>
  <c r="F176" i="3" l="1"/>
  <c r="F175" i="3" s="1"/>
  <c r="I1111" i="1"/>
  <c r="K1090" i="1"/>
  <c r="K1095" i="1" s="1"/>
  <c r="H176" i="3" s="1"/>
  <c r="H175" i="3" s="1"/>
  <c r="I1135" i="1" l="1"/>
  <c r="K1111" i="1"/>
  <c r="K1116" i="1" s="1"/>
  <c r="K1013" i="1" s="1"/>
  <c r="I1116" i="1"/>
  <c r="I1013" i="1" s="1"/>
  <c r="I215" i="1" l="1"/>
  <c r="I1140" i="1"/>
  <c r="K1135" i="1"/>
  <c r="K1140" i="1" s="1"/>
  <c r="K215" i="1" l="1"/>
  <c r="K1933" i="1"/>
  <c r="K2346" i="1"/>
  <c r="I2350" i="1"/>
  <c r="K2348" i="1"/>
  <c r="H147" i="3" s="1"/>
  <c r="F147" i="3"/>
  <c r="F85" i="3" s="1"/>
  <c r="F230" i="3" s="1"/>
  <c r="I2352" i="1" l="1"/>
  <c r="I2320" i="1" s="1"/>
  <c r="I2354" i="1" s="1"/>
  <c r="K2350" i="1"/>
  <c r="H85" i="3"/>
  <c r="H230" i="3" s="1"/>
  <c r="K2354" i="1" l="1"/>
  <c r="K2352" i="1"/>
  <c r="K2320" i="1"/>
  <c r="I209" i="1"/>
  <c r="K209" i="1" l="1"/>
  <c r="K220" i="1" s="1"/>
  <c r="I220" i="1"/>
  <c r="M214" i="1" l="1"/>
  <c r="M218" i="1"/>
  <c r="M219" i="1"/>
  <c r="M206" i="1"/>
  <c r="M204" i="1"/>
  <c r="M212" i="1"/>
  <c r="M215" i="1"/>
  <c r="M210" i="1"/>
  <c r="M217" i="1"/>
  <c r="M208" i="1"/>
  <c r="M216" i="1"/>
  <c r="M211" i="1"/>
  <c r="M207" i="1"/>
  <c r="M205" i="1"/>
  <c r="M213" i="1"/>
  <c r="M203" i="1"/>
  <c r="M209" i="1"/>
  <c r="M220" i="1" l="1"/>
</calcChain>
</file>

<file path=xl/sharedStrings.xml><?xml version="1.0" encoding="utf-8"?>
<sst xmlns="http://schemas.openxmlformats.org/spreadsheetml/2006/main" count="2937" uniqueCount="1193">
  <si>
    <t>Економска 
класификација</t>
  </si>
  <si>
    <t>Врста расхода</t>
  </si>
  <si>
    <t>Плате, додаци и накнаде запослених (зараде)</t>
  </si>
  <si>
    <t>Социјални доприноси на терет послодавца</t>
  </si>
  <si>
    <t xml:space="preserve">Социјална давања запосленима </t>
  </si>
  <si>
    <t>Накнаде трошкова за запослене</t>
  </si>
  <si>
    <t>Награде запосленима и остали посебни расходи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</si>
  <si>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</si>
  <si>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</si>
  <si>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</si>
  <si>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</si>
  <si>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</si>
  <si>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Амортизација некретнина и опреме</t>
  </si>
  <si>
    <t>Отплата домаћих камата</t>
  </si>
  <si>
    <t>Пратећи трошкови задуживања</t>
  </si>
  <si>
    <t>Субвенције предузећима</t>
  </si>
  <si>
    <t>Трансфери осталим новоима власти</t>
  </si>
  <si>
    <t xml:space="preserve">Порези, обавезне таксе и казне </t>
  </si>
  <si>
    <t xml:space="preserve">Новчане казне и пенали по решењу судова </t>
  </si>
  <si>
    <t>Накнада штете</t>
  </si>
  <si>
    <t xml:space="preserve">Зграде и грађевински објекти </t>
  </si>
  <si>
    <t>Машине и опрема</t>
  </si>
  <si>
    <t>Остале некретнине и опрема</t>
  </si>
  <si>
    <t>Нематеријална имовина</t>
  </si>
  <si>
    <t>Залихе робе за даљу продају</t>
  </si>
  <si>
    <t>Земљиште</t>
  </si>
  <si>
    <t>Отплата главнице домаћим кредиторима</t>
  </si>
  <si>
    <t>Набавка домаће финансијске имовине</t>
  </si>
  <si>
    <t>Раздео</t>
  </si>
  <si>
    <t>Глава</t>
  </si>
  <si>
    <t>Функционална 
класификација</t>
  </si>
  <si>
    <t>Позиција</t>
  </si>
  <si>
    <t>6</t>
  </si>
  <si>
    <t>СКУПШТИНА ОПШТИНЕ</t>
  </si>
  <si>
    <t>Накнаде у натури</t>
  </si>
  <si>
    <t>Социјална давања запосленима</t>
  </si>
  <si>
    <t>Материјал</t>
  </si>
  <si>
    <t>Дотације невладиним организацијама-политичке странке</t>
  </si>
  <si>
    <t>Извори финансирања за функцију 110:</t>
  </si>
  <si>
    <t>01</t>
  </si>
  <si>
    <t>Приходи из буџета</t>
  </si>
  <si>
    <t>УКУПНО функција 110</t>
  </si>
  <si>
    <t>ИЗБОРНА КОМИСИЈА</t>
  </si>
  <si>
    <t>другом месту</t>
  </si>
  <si>
    <t>Извори финансирања за функцију 160:</t>
  </si>
  <si>
    <t>УКУПНО функција 160</t>
  </si>
  <si>
    <t xml:space="preserve">Дотације невладиним организацијама-Црвени крст </t>
  </si>
  <si>
    <t>Верске и друге услуге заједнице</t>
  </si>
  <si>
    <t>Извори финансирања за функцију 840:</t>
  </si>
  <si>
    <t>УКУПНО функција 840</t>
  </si>
  <si>
    <t xml:space="preserve">Рекреација, култура и вере некласификоване на </t>
  </si>
  <si>
    <t>424</t>
  </si>
  <si>
    <t>Извори финансирања за функцију 860:</t>
  </si>
  <si>
    <t>УКУПНО функција 860</t>
  </si>
  <si>
    <t xml:space="preserve">Услуге рекреације и спорта </t>
  </si>
  <si>
    <t>Извори финансирања за функцију 810:</t>
  </si>
  <si>
    <t>УКУПНО функција 810</t>
  </si>
  <si>
    <t>III</t>
  </si>
  <si>
    <t>ОПШТИНСКА УПРАВА</t>
  </si>
  <si>
    <t>Опште услуге</t>
  </si>
  <si>
    <t xml:space="preserve">Машине и опрема </t>
  </si>
  <si>
    <t>Извори финансирања за функцију 130:</t>
  </si>
  <si>
    <t>УКУПНО функција 130</t>
  </si>
  <si>
    <t>1</t>
  </si>
  <si>
    <t>МЕСНЕ ЗАЈЕДНИЦЕ</t>
  </si>
  <si>
    <t xml:space="preserve">Порези, обавезне таксе и казне  </t>
  </si>
  <si>
    <t>04</t>
  </si>
  <si>
    <t>Сопствени приходи</t>
  </si>
  <si>
    <t>ТУРИЗАМ</t>
  </si>
  <si>
    <t>Туристичка организација општине Инђија</t>
  </si>
  <si>
    <t>УКУПНО за главу 2, функција 473</t>
  </si>
  <si>
    <t>Предшколско образовање</t>
  </si>
  <si>
    <t>3</t>
  </si>
  <si>
    <t>ПУ "Бошко Буха"</t>
  </si>
  <si>
    <t>Извори финансирања за функцију 911:</t>
  </si>
  <si>
    <t>УКУПНО за главу 3, функција 911</t>
  </si>
  <si>
    <t>Основно образовање</t>
  </si>
  <si>
    <t>413 Накнаде у натури</t>
  </si>
  <si>
    <t>414 Социјална давања запосленима</t>
  </si>
  <si>
    <t>415 Накнаде трошкова за запослене</t>
  </si>
  <si>
    <t>416 Награде запосленима и остали посебни расходи</t>
  </si>
  <si>
    <t>421 Стални трошкови</t>
  </si>
  <si>
    <t>422 Трошкови путовања</t>
  </si>
  <si>
    <t>423 Услуге по уговору</t>
  </si>
  <si>
    <t>424 Специјализоване услуге</t>
  </si>
  <si>
    <t>425 Текуће поправке и одржавање</t>
  </si>
  <si>
    <t>426 Материјал</t>
  </si>
  <si>
    <t xml:space="preserve">482 Порези, обавезне таксе и казне </t>
  </si>
  <si>
    <t>511 Зграде и грађевински објекти</t>
  </si>
  <si>
    <t>512 Машине и опрема</t>
  </si>
  <si>
    <t>Извори финансирања за функцију 912:</t>
  </si>
  <si>
    <t>УКУПНО функција 912</t>
  </si>
  <si>
    <t>Средње образовање</t>
  </si>
  <si>
    <t>515 Нематеријална имовина</t>
  </si>
  <si>
    <t>Извори финансирања за функцију 920:</t>
  </si>
  <si>
    <t>УКУПНО функција 920</t>
  </si>
  <si>
    <t>Високо образовање</t>
  </si>
  <si>
    <t>Извори финансирања за функцију 940:</t>
  </si>
  <si>
    <t>УКУПНО функција 940</t>
  </si>
  <si>
    <t>Образовање које није дефинисано нивоом</t>
  </si>
  <si>
    <t>423</t>
  </si>
  <si>
    <t>Услуге по уговору - Поклони за вуковце</t>
  </si>
  <si>
    <t>Извори финансирања за функцију 950:</t>
  </si>
  <si>
    <t>УКУПНО функција 950</t>
  </si>
  <si>
    <t>451</t>
  </si>
  <si>
    <t>Услуге културе</t>
  </si>
  <si>
    <t>Народна библиотека "Др Ђорђе Натошевић"</t>
  </si>
  <si>
    <t xml:space="preserve">УКУПНО за главу 4, функција 820 </t>
  </si>
  <si>
    <t>Установа Културни центар</t>
  </si>
  <si>
    <t xml:space="preserve">Сопствени приходи </t>
  </si>
  <si>
    <t>УКУПНО за главу 5, функција 820</t>
  </si>
  <si>
    <t>090</t>
  </si>
  <si>
    <t>Социјална заштита некласификована на другом месту</t>
  </si>
  <si>
    <t>Извори финансирања за функцију 090:</t>
  </si>
  <si>
    <t>УКУПНО функција 090</t>
  </si>
  <si>
    <t>010</t>
  </si>
  <si>
    <t>Болест и инвалидност</t>
  </si>
  <si>
    <t>Накнаде за социјалну заштиту из буџета - ЦИР</t>
  </si>
  <si>
    <t>Извори финансирања за функцију 010:</t>
  </si>
  <si>
    <t>УКУПНО функција 010</t>
  </si>
  <si>
    <t>070</t>
  </si>
  <si>
    <t>Социјална помоћ угроженом становништву</t>
  </si>
  <si>
    <t>некласификована на другом месту</t>
  </si>
  <si>
    <t>Извори финансирања за функцију 070:</t>
  </si>
  <si>
    <t>УКУПНО функција 070</t>
  </si>
  <si>
    <t>040</t>
  </si>
  <si>
    <t>Породица и деца</t>
  </si>
  <si>
    <t>Накнаде за социјалну заштиту из буџета-пут. тр. ОШ</t>
  </si>
  <si>
    <t>Накнаде за социјалну заштиту из буџета-пут. тр. СШ</t>
  </si>
  <si>
    <t>Накнаде за социјалну заштиту из буџета - Прво дете</t>
  </si>
  <si>
    <t>Накнаде за социјалну заштиту из буџета - Бесплатне ужине</t>
  </si>
  <si>
    <t>Извори финансирања за функцију 040:</t>
  </si>
  <si>
    <t>УКУПНО функција 040</t>
  </si>
  <si>
    <t>060</t>
  </si>
  <si>
    <t>Становање</t>
  </si>
  <si>
    <t>Накнаде из буџета за становање за живот-домски смештај</t>
  </si>
  <si>
    <t>Извори финансирања за функцију 060:</t>
  </si>
  <si>
    <t>УКУПНО функција 060</t>
  </si>
  <si>
    <t>Опште медицинске услуге</t>
  </si>
  <si>
    <t>УКУПНО функција 721</t>
  </si>
  <si>
    <t>Новчане казне и пенали по решењу судова</t>
  </si>
  <si>
    <t>Извори финансирања за функцију 620:</t>
  </si>
  <si>
    <t>Развој заједнице</t>
  </si>
  <si>
    <t>Специјализоване услуге - планска документација</t>
  </si>
  <si>
    <t>УКУПНО функција 620</t>
  </si>
  <si>
    <t>Водоснабдевање</t>
  </si>
  <si>
    <t>Специјализоване услуге - противградна заштита</t>
  </si>
  <si>
    <t>Извори финансирања за функцију 421:</t>
  </si>
  <si>
    <t>УКУПНО функција 421</t>
  </si>
  <si>
    <t>Остале делатности</t>
  </si>
  <si>
    <t>Извори финансирања за функцију 487:</t>
  </si>
  <si>
    <t>УКУПНО функција 487</t>
  </si>
  <si>
    <t>Економски послови некласификовани на другом месту</t>
  </si>
  <si>
    <t>Извори финансирања за функцију 490:</t>
  </si>
  <si>
    <t>УКУПНО функција 490</t>
  </si>
  <si>
    <t>Управљање отпадом</t>
  </si>
  <si>
    <t>Извори финансирања за функцију 510:</t>
  </si>
  <si>
    <t>07</t>
  </si>
  <si>
    <t>УКУПНО функција 510</t>
  </si>
  <si>
    <t>Извори финансирања за функцију 560:</t>
  </si>
  <si>
    <t>УКУПНО функција 560</t>
  </si>
  <si>
    <t>Вишенаменски развојни пројекти</t>
  </si>
  <si>
    <t xml:space="preserve">Субвенције  предузећима </t>
  </si>
  <si>
    <t>Специјализоване услуге-пројекти</t>
  </si>
  <si>
    <t>Извори финансирања за функцију 474:</t>
  </si>
  <si>
    <t>УКУПНО функција 474</t>
  </si>
  <si>
    <t>УКУПНИ РАСХОДИ</t>
  </si>
  <si>
    <t>Врста прихода</t>
  </si>
  <si>
    <t>ПОРЕЗИ НА ДОХОДАК, ДОБИТ И КАПИТАЛНЕ ДОБИТКЕ</t>
  </si>
  <si>
    <t>Порез на зараде</t>
  </si>
  <si>
    <t>Порез на приходе од самосталних делатности</t>
  </si>
  <si>
    <t>Порез на приходе од имовине</t>
  </si>
  <si>
    <t>Порез на приходе од осигурања лица</t>
  </si>
  <si>
    <t>Самодопринос</t>
  </si>
  <si>
    <t>Порез на друге приходе</t>
  </si>
  <si>
    <t>ПОРЕЗ НА ИМОВИНУ</t>
  </si>
  <si>
    <t>Порез на имовину</t>
  </si>
  <si>
    <t>Порез на наслеђе и поклон</t>
  </si>
  <si>
    <t>Порез на капиталне трансакције</t>
  </si>
  <si>
    <t>Порез на акције на име и уделе</t>
  </si>
  <si>
    <t>ПОРЕЗИ НА ДОБРА И УСЛУГЕ</t>
  </si>
  <si>
    <t>Комунална такса за коришћење рекламних паноа</t>
  </si>
  <si>
    <t>Порези, таксе и накнаде на моторна возила</t>
  </si>
  <si>
    <t>Накнаде за коришћење добара од општег интереса</t>
  </si>
  <si>
    <t>Концесионе накнаде и боравишне таксе</t>
  </si>
  <si>
    <t>Општинске и градске накнаде</t>
  </si>
  <si>
    <t>Општинске комуналне таксе</t>
  </si>
  <si>
    <t>ДРУГИ ПОРЕЗИ</t>
  </si>
  <si>
    <t>Комунална такса на фирму</t>
  </si>
  <si>
    <t>ДОНАЦИЈЕ ОД МЕЂУНАРОДНИХ ОРГАНИЗАЦИЈА</t>
  </si>
  <si>
    <t>Текуће донације од међ. орг. у корист нивоа општина</t>
  </si>
  <si>
    <t>Капиталне донације од међ. орг. у корист нивоа општина</t>
  </si>
  <si>
    <t>ТРАНСФЕРИ ОД ДРУГИХ НИВОА ВЛАСТИ</t>
  </si>
  <si>
    <t xml:space="preserve">        </t>
  </si>
  <si>
    <t>ПРИХОДИ ОД ИМОВИНЕ</t>
  </si>
  <si>
    <t>Камате на средства буџета општина</t>
  </si>
  <si>
    <t>Накнада за коришћење шумског и пољопривредног земљишта</t>
  </si>
  <si>
    <t>Накнада за коришћење простора и грађевинског земљишта</t>
  </si>
  <si>
    <t>ПРИХОДИ ОД ПРОДАЈЕ ДОБАРА И УСЛУГА</t>
  </si>
  <si>
    <t>Таксе у корист нивоа општина</t>
  </si>
  <si>
    <t>НОВЧАНЕ КАЗНЕ И ОДУЗЕТА ИМОВИНСКА КОРИСТ</t>
  </si>
  <si>
    <t>Приходи од новчаних казни у корист нивоа општина</t>
  </si>
  <si>
    <t>МЕШОВИТИ И НЕОДРЕЂЕНИ ПРИХОДИ</t>
  </si>
  <si>
    <t>ПРИМАЊА ОД ПРОДАЈЕ ЗЕМЉИШТА</t>
  </si>
  <si>
    <t>УКУПНИ ПРИХОДИ И ПРИМАЊА БУЏЕТА</t>
  </si>
  <si>
    <t>Јавни ред и безбедност некласификован на другом месту</t>
  </si>
  <si>
    <t>Извори финансирања за функцију 360:</t>
  </si>
  <si>
    <t>Средства из буџета</t>
  </si>
  <si>
    <t>Укупна средства</t>
  </si>
  <si>
    <t>РАСХОДИ ЗА ЗАПОСЛЕНЕ</t>
  </si>
  <si>
    <t xml:space="preserve">Накнаде у натури </t>
  </si>
  <si>
    <t>КОРИШЋЕЊЕ УСЛУГА И РОБА</t>
  </si>
  <si>
    <t xml:space="preserve">Материјал </t>
  </si>
  <si>
    <t>АМОРТИЗАЦИЈА И УПОТРЕБА СРЕДСТАВА ЗА РАД</t>
  </si>
  <si>
    <t>ОТПЛАТА КАМАТА И ПРАТЕЋИ ТРОШКОВИ ЗАДУЖИВАЊА</t>
  </si>
  <si>
    <t>СУБВЕНЦИЈЕ</t>
  </si>
  <si>
    <t>Субвенције јавним нефинансијским предузећима и организ.</t>
  </si>
  <si>
    <t xml:space="preserve">ДОНАЦИЈЕ, ДОТАЦИЈЕ И ТРАНСФЕРИ </t>
  </si>
  <si>
    <t>Остале дотације и трансфери</t>
  </si>
  <si>
    <t>СОЦИЈАЛНО ОСИГУРАЊЕ И СОЦИЈАЛНА ЗАШТИТА</t>
  </si>
  <si>
    <t>Накнаде за социјалну заштиту из буџета</t>
  </si>
  <si>
    <t>ОСТАЛИ РАСХОДИ</t>
  </si>
  <si>
    <t xml:space="preserve">Дотације невладиним организацијама </t>
  </si>
  <si>
    <t>Средства резерве</t>
  </si>
  <si>
    <t>ОСНОВНА СРЕДСТВА</t>
  </si>
  <si>
    <t>ЗАЛИХЕ</t>
  </si>
  <si>
    <t>ПРИРОДНА ИМОВИНА</t>
  </si>
  <si>
    <t>ОТПЛАТА ГЛАВНИЦЕ</t>
  </si>
  <si>
    <t>НАБАВКА ФИНАНСИЈСКЕ ИМОВИНЕ</t>
  </si>
  <si>
    <t>УКУПНО:</t>
  </si>
  <si>
    <t>Примања од продаје земљишта у корист нивоа општина</t>
  </si>
  <si>
    <t xml:space="preserve">Специјализоване услуге - Уређење каналске мреже </t>
  </si>
  <si>
    <t>О Д Л У К У</t>
  </si>
  <si>
    <t>Члан 1.</t>
  </si>
  <si>
    <t>Члан 4.</t>
  </si>
  <si>
    <t>Члан 5.</t>
  </si>
  <si>
    <t>А. РАЧУН ПРИХОДА И ПРИМАЊА, РАСХОДА И ИЗДАТАКА БУЏЕТА ОПШТИНЕ</t>
  </si>
  <si>
    <t>I. УКУПНИ ПРИХОДИ</t>
  </si>
  <si>
    <t>Текући приходи:</t>
  </si>
  <si>
    <t>1. Порески приходи</t>
  </si>
  <si>
    <t>1.1. Порез на доходак, добит и капиталне добитке</t>
  </si>
  <si>
    <t>1.2. Порез на добра и услуге</t>
  </si>
  <si>
    <t>1.3. Остали порески приходи</t>
  </si>
  <si>
    <t>2. Непорески приходи, од чега:</t>
  </si>
  <si>
    <t>- наплаћене камате</t>
  </si>
  <si>
    <t>- накнада за коришћење простора и грађевинског земљишта</t>
  </si>
  <si>
    <t>4. Донације</t>
  </si>
  <si>
    <t>5. Трансфери</t>
  </si>
  <si>
    <t>Капитални приходи -  примања од продаје нефинансијске имовине</t>
  </si>
  <si>
    <t>II. УКУПНИ РАСХОДИ</t>
  </si>
  <si>
    <t>1. Расходи за запослене</t>
  </si>
  <si>
    <t>2. Коришћење услуга и роба</t>
  </si>
  <si>
    <t>3. Отплата камата</t>
  </si>
  <si>
    <t>4. Субвенције</t>
  </si>
  <si>
    <t>5. Издаци за социјалну заштиту</t>
  </si>
  <si>
    <t>6. Остали расходи</t>
  </si>
  <si>
    <t>7. Текући трансфери</t>
  </si>
  <si>
    <t>8. Капитални трансфери</t>
  </si>
  <si>
    <t>Капитални расходи</t>
  </si>
  <si>
    <t>III. БУЏЕТСКИ СУФИЦИТ (БУЏЕТСКИ ДЕФИЦИТ) (I-II)</t>
  </si>
  <si>
    <t>1.2. Задуживање код осталих кредитора</t>
  </si>
  <si>
    <t>2. Примања од иностраног задуживања</t>
  </si>
  <si>
    <t>1. Отплата главнице домаћим кредиторима</t>
  </si>
  <si>
    <t>1.2. Отплата главнице осталим кредиторима</t>
  </si>
  <si>
    <t>2. Отплата главнице страним кредиторима</t>
  </si>
  <si>
    <t>Ек. клас.</t>
  </si>
  <si>
    <t>Ред. број</t>
  </si>
  <si>
    <t>Члан 6.</t>
  </si>
  <si>
    <t>II  ПОСЕБАН ДЕО</t>
  </si>
  <si>
    <t>I  ОПШТИ ДЕО</t>
  </si>
  <si>
    <t>УКУПНО функција 360</t>
  </si>
  <si>
    <t>483 Новчане казне и пенали по решењу судова</t>
  </si>
  <si>
    <t>Остале текуће донације и трансфери</t>
  </si>
  <si>
    <t xml:space="preserve"> </t>
  </si>
  <si>
    <t xml:space="preserve">483 Новчане казне и пенали по решењу судова </t>
  </si>
  <si>
    <t>Студентске стипендије</t>
  </si>
  <si>
    <t>481</t>
  </si>
  <si>
    <t>Остале текуће дотације и трансфери</t>
  </si>
  <si>
    <t>Трансфери осталим нивоима власти</t>
  </si>
  <si>
    <t>Специјализоване услуге - одржавање путних прелаза</t>
  </si>
  <si>
    <t>425</t>
  </si>
  <si>
    <t xml:space="preserve">426 </t>
  </si>
  <si>
    <t>ПРОГРАМ 4 - РАЗВОЈ ТУРИЗМА</t>
  </si>
  <si>
    <t>1502-0001</t>
  </si>
  <si>
    <t>Управљање развојем туризма</t>
  </si>
  <si>
    <t>Функционисање предшколских установа</t>
  </si>
  <si>
    <t>2001-0001</t>
  </si>
  <si>
    <t>2002-0001</t>
  </si>
  <si>
    <t>Функционисање основних школа</t>
  </si>
  <si>
    <t>2003-0001</t>
  </si>
  <si>
    <t>Функционисање средњих школа</t>
  </si>
  <si>
    <t>1201-0001</t>
  </si>
  <si>
    <t>Функционисање локалних установа културе</t>
  </si>
  <si>
    <t>1502-0002</t>
  </si>
  <si>
    <t>Програмска активност 0002 (ПА 0002)</t>
  </si>
  <si>
    <t>1201-0002</t>
  </si>
  <si>
    <t>0602</t>
  </si>
  <si>
    <t>ПРОГРАМ 15 - ЛОКАЛНА САМОУПРАВА</t>
  </si>
  <si>
    <t>1301</t>
  </si>
  <si>
    <t>ПРОГРАМ 14 - РАЗВОЈ СПОРТА И ОМЛАДИНЕ</t>
  </si>
  <si>
    <t>0901</t>
  </si>
  <si>
    <t>0901-0001</t>
  </si>
  <si>
    <t>ПРОГРАМ 11 - СОЦИЈАЛНА И ДЕЧЈА ЗАШТИТА</t>
  </si>
  <si>
    <t>0901-0006</t>
  </si>
  <si>
    <t>0901-0002</t>
  </si>
  <si>
    <t>0901-0005</t>
  </si>
  <si>
    <t>1801</t>
  </si>
  <si>
    <t>1801-0001</t>
  </si>
  <si>
    <t>1101</t>
  </si>
  <si>
    <t>1101-0001</t>
  </si>
  <si>
    <t>0701</t>
  </si>
  <si>
    <t>0701-0002</t>
  </si>
  <si>
    <t>1501</t>
  </si>
  <si>
    <t>ПРОГРАМ 3 -ЛОКАЛНИ ЕКОНОМСКИ РАЗВОЈ</t>
  </si>
  <si>
    <t>0101</t>
  </si>
  <si>
    <t>0101-0001</t>
  </si>
  <si>
    <t>ПРОГРАМ 3 - ЛОКАЛНИ ЕКОНОМСКИ РАЗВОЈ</t>
  </si>
  <si>
    <t>1501-0003</t>
  </si>
  <si>
    <t>0401</t>
  </si>
  <si>
    <t>ПРОГРАМ 6 - ЗАШТИТА ЖИВОТНЕ СРЕДИНЕ</t>
  </si>
  <si>
    <t>Управљање комуналним отпадом</t>
  </si>
  <si>
    <t>09</t>
  </si>
  <si>
    <t>Примања од продаје нефинансијске имовине</t>
  </si>
  <si>
    <t>0602-0001</t>
  </si>
  <si>
    <t>Функционисање локалне самоуправе и градских општина</t>
  </si>
  <si>
    <t>0602-0010</t>
  </si>
  <si>
    <t>1501-0001</t>
  </si>
  <si>
    <t>1301-0001</t>
  </si>
  <si>
    <t>Подршка локалним спортским организацијама, удружењима и савезима</t>
  </si>
  <si>
    <t>0602-0002</t>
  </si>
  <si>
    <t>ПРОЈЕКАТ 1</t>
  </si>
  <si>
    <t>426</t>
  </si>
  <si>
    <t>511</t>
  </si>
  <si>
    <t>513</t>
  </si>
  <si>
    <t>Програмска активност 0001 (ПА 0001)</t>
  </si>
  <si>
    <t>Програмска активност 0010 (ПА 0010)</t>
  </si>
  <si>
    <t>Програмска активност 0003 (ПА 0003)</t>
  </si>
  <si>
    <t>Програмска активност 0005 (ПА 0005)</t>
  </si>
  <si>
    <t>Програмска активност 0009 (ПА 0009)</t>
  </si>
  <si>
    <t>Услуге по уговору - Буџетски фонд за заштиту животне средине</t>
  </si>
  <si>
    <t>ПРОЈЕКАТ 1 - "ЈАВНИ РЕД И БЕЗБЕДНОСТ"</t>
  </si>
  <si>
    <t>I</t>
  </si>
  <si>
    <t>II</t>
  </si>
  <si>
    <t>УКУПНО ЗА ПРОЈЕКАТ 1.2</t>
  </si>
  <si>
    <t>УКУПНО ЗА ПРОЈЕКАТ 1.3</t>
  </si>
  <si>
    <t>УКУПНО ЗА ПРОЈЕКАТ 1.4</t>
  </si>
  <si>
    <t>УКУПНО ЗА ПРОЈЕКАТ 1.5</t>
  </si>
  <si>
    <t>УКУПНО ЗА ПРОЈЕКАТ 1.6</t>
  </si>
  <si>
    <t>УКУПНО ЗА ПРОЈЕКАТ 1.7</t>
  </si>
  <si>
    <t>УКУПНО ЗА ПРОЈЕКАТ 1.9</t>
  </si>
  <si>
    <t>УКУПНО ЗА ПРОЈЕКАТ 1</t>
  </si>
  <si>
    <t>УКУПНО ЗА ПРОЈЕКАТ 2</t>
  </si>
  <si>
    <t>УКУПНО ЗА ПРОЈЕКАТ 1.8</t>
  </si>
  <si>
    <t>УКУПНО ЗА ПРОЈЕКАТ 1.10</t>
  </si>
  <si>
    <t>Трансфери од других нивоа власти</t>
  </si>
  <si>
    <t>УКУПНО ЗА ПРОЈЕКАТ 1.1</t>
  </si>
  <si>
    <t>Расходи из додатних прихода корисника</t>
  </si>
  <si>
    <t>ПРОЈЕКАТ 1 "ПОБОЉШАЊЕ СТАНДАРДА СТУДЕНАТА"</t>
  </si>
  <si>
    <t>ПРОЈЕКАТ 2 "ПОКЛОНИ ЗА ВУКОВЦЕ"</t>
  </si>
  <si>
    <t>ПРОГРАМ 3- ЛОКАЛНИ ЕКОНОМСКИ РАЗВОЈ</t>
  </si>
  <si>
    <t>УКУПНО ЗА ПРОЈЕКТЕ МЕСНИХ ЗАЈЕДНИЦА</t>
  </si>
  <si>
    <t xml:space="preserve">УКУПНО </t>
  </si>
  <si>
    <t>УКУПНО РАЗДЕО I</t>
  </si>
  <si>
    <t>4</t>
  </si>
  <si>
    <t>5</t>
  </si>
  <si>
    <t>7</t>
  </si>
  <si>
    <t>8</t>
  </si>
  <si>
    <t>Програм</t>
  </si>
  <si>
    <t>Програмска активност</t>
  </si>
  <si>
    <t>Опште јавне услуге које нису класификоване на другом месту</t>
  </si>
  <si>
    <t>Извршни и законодавни органи, финансијски и фискални послови и спољни послови</t>
  </si>
  <si>
    <t>УКУПНО  ПРОГРАМСКА АКТИВНОСТ 1502-0001</t>
  </si>
  <si>
    <t>УКУПНО  ПРОГРАМСКА АКТИВНОСТ 1502-0002</t>
  </si>
  <si>
    <t>УКУПНО за главу 1, функција 160</t>
  </si>
  <si>
    <t>ОПШТЕ ЈАВНЕ УСЛУГЕ КОЈЕ НИСУ КЛАСИФИКОВАНЕ НА ДРУГОМ МЕСТУ</t>
  </si>
  <si>
    <t>УКУПНО  ПРОГРАМСКА АКТИВНОСТ 1201-0001</t>
  </si>
  <si>
    <t>УКУПНО  ПРОГРАМСКА АКТИВНОСТ 1201-0002</t>
  </si>
  <si>
    <t>Извори финансирања за главу 4 за функцију 820:</t>
  </si>
  <si>
    <t>Извори финансирања за главу 5 за функцију 820:</t>
  </si>
  <si>
    <t>Субвенције јавним нефинансијским предузећима и организацијама - Установа Спортски центар</t>
  </si>
  <si>
    <t>Трансфери осталим нивоима власти-Центар за социјални рад "Дунав"</t>
  </si>
  <si>
    <t>Накнаде за социјалну заштиту из буџета - НОР и кадровачка помоћ</t>
  </si>
  <si>
    <t>Накнаде за социјалну заштиту из буџета - ПРОЈЕКТИ  из области социјалне заштите</t>
  </si>
  <si>
    <t>Накнаде за социјалну заштиту из буџета - Боравак деце у предшколским установама</t>
  </si>
  <si>
    <t>ПРОЈЕКАТ 1 - БЕСПЛАТНЕ УЖИНЕ</t>
  </si>
  <si>
    <t>УКУПНО ЗА ПРОЈЕКАТ 3</t>
  </si>
  <si>
    <t xml:space="preserve">Пољопривреда </t>
  </si>
  <si>
    <t>Субвенције јавним нефинансијским предузећима и организацијама - АГЕНЦИЈА ЗА ИТ, ГИС И КОМУНИКАЦИЈЕ ОПШТИНЕ ИНЂИЈА</t>
  </si>
  <si>
    <t>Субвенције јавним нефинансијским предузећима и организацијама - АГЕНЦИЈА ЗА ЕКОНОМСКИ РАЗВОЈ ОПШТИНЕ ИНЂИЈА</t>
  </si>
  <si>
    <t>Заштита животне средине некласификована на другом месту</t>
  </si>
  <si>
    <t>Накнаде за социјалну заштиту из буџета - За подстицај запошљавања</t>
  </si>
  <si>
    <t>Дотације невладиним организацијама-Социохуманитарне организације</t>
  </si>
  <si>
    <t>Услуге по уговору - Регионална развојна агенција Срем</t>
  </si>
  <si>
    <t>Дотације невладиним организацијама - Програми и пројекти у области културе</t>
  </si>
  <si>
    <t>Дотације невладиним организацијама - спортске организације и спортисти</t>
  </si>
  <si>
    <t>Субвенције јавним нефинансијским предузећима и организацијама - ПОСЛОВНО - ОБРАЗОВНИ ЦЕНТАР   ИНЂИЈА</t>
  </si>
  <si>
    <t>Програмска активност 0006 (ПА 0006)</t>
  </si>
  <si>
    <t>Функционисање установа примарне здравствене заштите</t>
  </si>
  <si>
    <t>ПРОЈЕКАТ  1 "КОНКУРС ЗА ОСТАЛЕ НЕВЛАДИНЕ ОРГАНИЗАЦИЈЕ"</t>
  </si>
  <si>
    <t xml:space="preserve">УКУПНО ЗА ПРОЈЕКАТ 1 </t>
  </si>
  <si>
    <t>УКУПНО</t>
  </si>
  <si>
    <t>УКУПНО РАЗДЕО II</t>
  </si>
  <si>
    <t>УКУПНИ ПРИХОДИ</t>
  </si>
  <si>
    <t>Капитални трансфери од других нивоа власти у корист нивоа општине</t>
  </si>
  <si>
    <t>Приходи општ.орг. од споредне продаје доб.и услуга које врше државне нетржишне јединице</t>
  </si>
  <si>
    <t>Приходи од новчаних казни за прекршаје у корист нивоа Републике</t>
  </si>
  <si>
    <t>Мешовити и неодређени приходи у корист нивоа општина</t>
  </si>
  <si>
    <t xml:space="preserve">Специјализоване услуге - Услуге одржавања природних површина </t>
  </si>
  <si>
    <t>Субвенције јавним нефинансијским предузећима и организацијама - АГЕНЦИЈА ЗА РУРАЛНИ РАЗВОЈ ОПШТИНЕ ИНЂИЈА</t>
  </si>
  <si>
    <t>АДМИНИСТРАТИВНИ ТРАНСФЕРИ ИЗ БУЏЕТА И СРЕДСТВА РЕЗЕРВЕ</t>
  </si>
  <si>
    <t>Накнаде за социјалну заштиту из буџета-путни трошкови студената</t>
  </si>
  <si>
    <t>Накнаде за социјалну заштиту из буџета - Народна кухиња</t>
  </si>
  <si>
    <t>Дотације организацијама обавезног социјалног осигурања</t>
  </si>
  <si>
    <t>1.1. Отплата главнице домаћим јавним финансијским институцијама и пословним банкама</t>
  </si>
  <si>
    <t>Економска
класификација</t>
  </si>
  <si>
    <t>71</t>
  </si>
  <si>
    <t>711</t>
  </si>
  <si>
    <t>714</t>
  </si>
  <si>
    <t>712+713+716+719</t>
  </si>
  <si>
    <t>74</t>
  </si>
  <si>
    <t>7411</t>
  </si>
  <si>
    <t>7415</t>
  </si>
  <si>
    <t>772</t>
  </si>
  <si>
    <t>731+732</t>
  </si>
  <si>
    <t>733</t>
  </si>
  <si>
    <t>41</t>
  </si>
  <si>
    <t>42</t>
  </si>
  <si>
    <t>44</t>
  </si>
  <si>
    <t>45</t>
  </si>
  <si>
    <t>47</t>
  </si>
  <si>
    <t>48+49</t>
  </si>
  <si>
    <t>4631</t>
  </si>
  <si>
    <t>4632</t>
  </si>
  <si>
    <t>(7+8)-(4+5)</t>
  </si>
  <si>
    <t>92</t>
  </si>
  <si>
    <t>91</t>
  </si>
  <si>
    <t>911</t>
  </si>
  <si>
    <t>9113+9114</t>
  </si>
  <si>
    <t>912</t>
  </si>
  <si>
    <t>62</t>
  </si>
  <si>
    <t>61</t>
  </si>
  <si>
    <t>611</t>
  </si>
  <si>
    <t>6113+6114</t>
  </si>
  <si>
    <t>612</t>
  </si>
  <si>
    <t>О  П  И  С</t>
  </si>
  <si>
    <t>ИЗНОС У ДИНАРИМА</t>
  </si>
  <si>
    <t>Члан 7.</t>
  </si>
  <si>
    <t>Члан 9.</t>
  </si>
  <si>
    <t>СКУПШТИНА ОПШТИНЕ ИНЂИЈА</t>
  </si>
  <si>
    <t xml:space="preserve">                                           </t>
  </si>
  <si>
    <t xml:space="preserve">Председник  </t>
  </si>
  <si>
    <t>И Н Ђ И Ј А</t>
  </si>
  <si>
    <t>(7-7411+8)-(4-44+5)</t>
  </si>
  <si>
    <t>92-62</t>
  </si>
  <si>
    <t>ПРИМАРНИ СУФИЦИТ (ДЕФИЦИТ) (УКУПНИ ПРИХОДИ УМАЊЕНИ ЗА НАПЛАЋЕНЕ КАМАТЕ МИНУС УКУПНИ РАСХОДИ УМАЊЕНИ ЗА ПЛАЋЕНЕ КАМАТЕ)</t>
  </si>
  <si>
    <t>УКУПНИ ФИСКАЛНИ РЕЗУЛТАТ (III+VI)</t>
  </si>
  <si>
    <t>Б.ПРИМАЊА И ИЗДАЦИ ПО ОСНОВУ ПРОДАЈЕ, ОДНОСНО НАБАВКЕ ФИНАНСИЈСКЕ ИМОВИНЕ И ДАТИХ КРЕДИТА</t>
  </si>
  <si>
    <t>IV. ПРИМАЊА ОД ПРОДАЈЕ ФИНАНСИЈСКЕ ИМОВИНЕ И ОТПЛАТЕ ДАТИХ КРЕДИТА</t>
  </si>
  <si>
    <t>VII. ПРИМАЊА ОД ЗАДУЖИВАЊА</t>
  </si>
  <si>
    <t>1. Примања од  домаћих задуживања</t>
  </si>
  <si>
    <t>1.1. Задуживање код јавних финасијских институција и пословних банака</t>
  </si>
  <si>
    <t>9111+9112+9115+9116+9117+9118+9119</t>
  </si>
  <si>
    <t>VIII. ОТПЛАТА ГЛАВНИЦЕ</t>
  </si>
  <si>
    <t>6111+6112+6115+6116+6117+6118+6119</t>
  </si>
  <si>
    <t>X. НЕТО ФИНАСИРАЊЕ (VI+VII-VIII-IX)=-III</t>
  </si>
  <si>
    <t>3. Меморандумске ставке за рефундацију расхода из претходне године</t>
  </si>
  <si>
    <t>Текући расходи</t>
  </si>
  <si>
    <t>В. ЗАДУЖИВАЊЕ И ОТПЛАТА ДУГА</t>
  </si>
  <si>
    <t>VI. ПРИМАЊА ПО ОСНОВУ ПРОДАЈЕ ФИНАНСИЈСКЕ ИМОВИНЕ И ОТПЛАТЕ КРЕДИТА МИНУС ИЗДАЦИ ПО ОСНОВУ ДАТИХ КРЕДИТА И НАБАВКЕ ФИНАСИЈСКЕ ИМОВИНЕ</t>
  </si>
  <si>
    <t>IX. ВИШАК ПРИХОДА И ПРИМАЊА - СУФИЦИТ (III+VI+VII-VIII)</t>
  </si>
  <si>
    <t>НАЗИВ ПРОГРАМА</t>
  </si>
  <si>
    <t>ШИФРА ПРОГРАМА</t>
  </si>
  <si>
    <t>ПРОГРАМ</t>
  </si>
  <si>
    <t>РАЗВОЈ ТУРИЗМА</t>
  </si>
  <si>
    <t>1502</t>
  </si>
  <si>
    <t>ЛОКАЛНИ ЕКОНОМСКИ РАЗВОЈ</t>
  </si>
  <si>
    <t>ЗАШТИТА ЖИВОТНЕ СРЕДИНЕ</t>
  </si>
  <si>
    <t>2001</t>
  </si>
  <si>
    <t>2002</t>
  </si>
  <si>
    <t>2003</t>
  </si>
  <si>
    <t>СОЦИЈАЛНА И ДЕЧИЈА ЗАШТИТА</t>
  </si>
  <si>
    <t>1201</t>
  </si>
  <si>
    <t>РАЗВОЈ СПОРТА И ОМЛАДИНЕ</t>
  </si>
  <si>
    <t>ПРОЈЕКАТ 1 - "СУФИНАНСИРАЊЕ ТЕКУЋИХ РАСХОДА И ИЗДАТАКА  ДРУГИХ СУБЈЕКАТА У КУЛТУРИ"</t>
  </si>
  <si>
    <t>УКУПНО функција 820</t>
  </si>
  <si>
    <t>МЕМОРАНДУМСКЕ СТАВКЕ ЗА РЕФУНДАЦИЈУ РАСХОДА</t>
  </si>
  <si>
    <t>Меморандумске ставке за рефундацију расхода</t>
  </si>
  <si>
    <t>Приходи индиректних корисника буџетских средстава који се остварују додатним активностима</t>
  </si>
  <si>
    <t>ДОБРОВОВОЉНИ ТРАНСФЕРИ ОД ФИЗИЧКИХ И ПРАВНИХ ЛИЦА</t>
  </si>
  <si>
    <t>Текући добровољни трансфери од физичких и правних лица у корист нивоа општина</t>
  </si>
  <si>
    <t>ПРИМАЊА ОД ПРОДАЈЕ РОБЕ ЗА ДАЉУ ПРОДАЈУ</t>
  </si>
  <si>
    <t>Примања од продаје робе за даљу продају у корист нивоа општина</t>
  </si>
  <si>
    <t>Шифра</t>
  </si>
  <si>
    <t>Назив</t>
  </si>
  <si>
    <t>Циљ</t>
  </si>
  <si>
    <t>Индикатор</t>
  </si>
  <si>
    <t xml:space="preserve"> Програмска активност/  Пројекат</t>
  </si>
  <si>
    <t>2</t>
  </si>
  <si>
    <t>Усвојен просторни план града/општине</t>
  </si>
  <si>
    <t>Програм 3.  Локални економски развој</t>
  </si>
  <si>
    <t>Програм 4.  Развој туризма</t>
  </si>
  <si>
    <t>Програм 6.  Заштита животне средине</t>
  </si>
  <si>
    <t>Програм 8.  Предшколско васпитање</t>
  </si>
  <si>
    <t xml:space="preserve">Потпуни обухват основним  образовањем и  васпитањем </t>
  </si>
  <si>
    <t>Програм 11.  Социјална  и дечја заштита</t>
  </si>
  <si>
    <t xml:space="preserve">Унапређење заштите сиромашних </t>
  </si>
  <si>
    <t>Програм 14.  Развој спорта и омладине</t>
  </si>
  <si>
    <t xml:space="preserve">УКУПНИ РАСХОДИ ПО ПРОГРАМИМА </t>
  </si>
  <si>
    <t>Текући трансфери од других нивоа власти у корист нивоа општине</t>
  </si>
  <si>
    <t>У  К  У  П  Н  О</t>
  </si>
  <si>
    <t>РАСХОДИ ИСКАЗАНИ ПО ПРОГРАМСКОЈ КЛАСИФИКАЦИЈИ- ПОСЕБАН ДЕО ЦИЉЕВИ И ИНДИКАТОРИ</t>
  </si>
  <si>
    <t>Програмска активност 0004 (ПА 0004)</t>
  </si>
  <si>
    <t>0602-0004</t>
  </si>
  <si>
    <t>IV</t>
  </si>
  <si>
    <t>472</t>
  </si>
  <si>
    <t>Накнаде за социјалну заштиту из буџета - Јавни превоз</t>
  </si>
  <si>
    <t>416</t>
  </si>
  <si>
    <t>Трансфери од осталих нивоа власти</t>
  </si>
  <si>
    <t>0101-0002</t>
  </si>
  <si>
    <t>Субвенције јавним нефинансијским предузећима и организацијама -
БУЏЕТСКИ ФОНД ЗА ПОЉОПРИВРЕДУ И РУРАЛНИ РАЗВОЈ ОПШТИНЕ ИНЂИЈА</t>
  </si>
  <si>
    <t xml:space="preserve">Специјализоване услуге </t>
  </si>
  <si>
    <t>УКУПНО РАЗДЕО III</t>
  </si>
  <si>
    <t>ПРОЈЕКАТ  1 "ПРОЈЕКАТ ЗА ПОБОЉШАЊЕ УСЛОВА РОМСКЕ ПОПУЛАЦИЈЕ"</t>
  </si>
  <si>
    <t>Остале новчане казне, пенали и приходи од одузете имовинске користи у корист нивоа републике</t>
  </si>
  <si>
    <t>ПРОЈЕКАТ 1 "РЕКОНСТРУКЦИЈА КЕЛТСКОГ НАСЕЉА"</t>
  </si>
  <si>
    <t>УКУПНО ЗА ПРОЈЕКАТ 1 "РЕКОНСТРУКЦИЈА КЕЛТСКОГ НАСЕЉА"</t>
  </si>
  <si>
    <t>ПРОЈЕКАТ 1 -"ЧИПОВАЊЕ И СТЕРИЛИЗАЦИЈА ПАСА И МАЧАКА"</t>
  </si>
  <si>
    <t>ПРОЈЕКАТ 2 -"НАБАВКА ПОСУДА ЗА САКУПЉАЊЕ КОМУНАЛНОГ ОТПАДА"</t>
  </si>
  <si>
    <t>Специјализоване услуге - ЈП за сакупљање и одлагање отпада и одржавање депонија "ИНГРИН"</t>
  </si>
  <si>
    <t>Порези, обавезне таксе, казне и пенали - Накнада за одводњавање</t>
  </si>
  <si>
    <t>2101-0001</t>
  </si>
  <si>
    <t>Функционисање Скупштине</t>
  </si>
  <si>
    <t>Општинско/градско правобранилаштво</t>
  </si>
  <si>
    <t>ПРОГРАМ 16 - ПОЛИТИЧКИ СИСТЕМ ЛОКАЛНЕ САМОУПРАВЕ</t>
  </si>
  <si>
    <t>2101</t>
  </si>
  <si>
    <t>ПРОГРАМ 15 - ОПШТЕ УСЛУГЕ ЛОКАЛНЕ САМОУПРАВЕ</t>
  </si>
  <si>
    <t>2101-0002</t>
  </si>
  <si>
    <t>Функционисање извршних органа</t>
  </si>
  <si>
    <t>0602-0009</t>
  </si>
  <si>
    <t>Текућа буџетска резерва</t>
  </si>
  <si>
    <t>Стална буџетска резерва</t>
  </si>
  <si>
    <t>Подршка реализацији програма Црвеног крста</t>
  </si>
  <si>
    <t>ПРОГРАМ 11 - СОЦИЈАЛНА И ДЕЧИЈА ЗАШТИТА</t>
  </si>
  <si>
    <t>Унапређење привредног  и инвестиционог амбијента</t>
  </si>
  <si>
    <t>1201-0003</t>
  </si>
  <si>
    <t>Унапређење система очувања и представљања културно-историјског наслеђа</t>
  </si>
  <si>
    <t>1201-0004</t>
  </si>
  <si>
    <t>Остваривање и унапређивање јавног интереса у области јавног информисања</t>
  </si>
  <si>
    <t>Функционисање месних заједница</t>
  </si>
  <si>
    <t xml:space="preserve">Промоција туристичке понуде </t>
  </si>
  <si>
    <t>Унапређење привредног и инвестиционог амбијента</t>
  </si>
  <si>
    <t>Јачање културне продукције и  уметничког стваралаштва</t>
  </si>
  <si>
    <t>Подршка реализацији програма  Црвеног крста</t>
  </si>
  <si>
    <t>ПРОГРАМ 10 - СРЕДЊЕ ОБРАЗОВАЊЕ И ВАСПИТАЊЕ</t>
  </si>
  <si>
    <t>ПРОГРАМ 9 - ОСНОВНО ОБРАЗОВАЊЕ И ВАСПИТАЊЕ</t>
  </si>
  <si>
    <t>ПРОГРАМ 12 -  ЗДРАВСТВЕНА ЗАШТИТА</t>
  </si>
  <si>
    <t>Управљање/одржавање јавним осветљењем</t>
  </si>
  <si>
    <t>ПРОГРАМ 7 - ОРГАНИЗАЦИЈА САОБРАЋАЈА И САОБРАЋАЈНА ИНФРАСТРУКТУРА</t>
  </si>
  <si>
    <t>Просторно и урбанистичко планирање</t>
  </si>
  <si>
    <t>1102</t>
  </si>
  <si>
    <t>ПРОГРАМ 2 - КОМУНАЛНЕ ДЕЛАТНОСТИ</t>
  </si>
  <si>
    <t>ПРОГРАМ 2 - КОМУНАЛНE ДЕЛАТНОСТИ</t>
  </si>
  <si>
    <t>ПРОГРАМ 1 - УРБАНИЗАМ И ПРОСТОРНО ПЛАНИРАЊЕ</t>
  </si>
  <si>
    <t>1102-0001</t>
  </si>
  <si>
    <t>ПРОГРАМ 5 - ПОЉОПРИВРЕДА И РУРАЛНИ РАЗВОЈ</t>
  </si>
  <si>
    <t>Подршка за спровођење пољопривредне политике у локалној заједници</t>
  </si>
  <si>
    <t>Мере подршке руралном развоју</t>
  </si>
  <si>
    <t>0401-0005</t>
  </si>
  <si>
    <t>1102-0002</t>
  </si>
  <si>
    <t>Одржавање јавних зелених површина</t>
  </si>
  <si>
    <t>Јавни градски и приградски превоз путника</t>
  </si>
  <si>
    <t>1301-0004</t>
  </si>
  <si>
    <t>Функционисање локалних спортских установа</t>
  </si>
  <si>
    <t>ПРОЈЕКАТ 3 "ПОКЛОНИ ЗА ИСТАКНУТЕ УЧЕНИКЕ И СПОРТИСТЕ"</t>
  </si>
  <si>
    <t>Услуге по уговору - Поклони за истакнуте ученике и спортисте</t>
  </si>
  <si>
    <t>"ИНЂИЈА ПУТ" ИНЂИЈА</t>
  </si>
  <si>
    <t>ПРОЈЕКАТ 1 "ВИДЕО НАДЗОР НА РАСКРСНИЦИ"</t>
  </si>
  <si>
    <t xml:space="preserve">Специјализоване услуге-Видео надзор </t>
  </si>
  <si>
    <t>ПРОЈЕКАТ 2 "ВИДЕО НАДЗОР У ОБРАЗОВНИМ УСТАНОВАМА"</t>
  </si>
  <si>
    <t>ПРОЈЕКАТ 1 - "ПОДСТИЦАЈИ ЗА РАЗВОЈ ПРЕДУЗЕТНИШТВА"</t>
  </si>
  <si>
    <t>Субвенције приватним предузећима</t>
  </si>
  <si>
    <t xml:space="preserve">Планирање, уређење и коришћење простора у локалној заједници </t>
  </si>
  <si>
    <t xml:space="preserve">Проценат покривености територије урбанистичком планском документацијом </t>
  </si>
  <si>
    <t xml:space="preserve">Повећање покривености територије планском и урбанистичком документацијом </t>
  </si>
  <si>
    <t xml:space="preserve">Повећање покривености насеља и територије рационалним јавним осветљењем </t>
  </si>
  <si>
    <t xml:space="preserve">Дужина улица и саобраћајница ( км) које су покривене јавним осветљењем у односу на укупну дужину улица и саобраћајница </t>
  </si>
  <si>
    <t xml:space="preserve">Адекватно управљање јавним осветљењем </t>
  </si>
  <si>
    <t xml:space="preserve">Укупан број интервенција по поднетим иницијативама грађана за замену светиљки када престану да раде </t>
  </si>
  <si>
    <t xml:space="preserve">Адекватан квалитет пружених услуга уређења и одржавања јавних зелених површина </t>
  </si>
  <si>
    <t xml:space="preserve">Динамика уређења јавних зелених површина </t>
  </si>
  <si>
    <t xml:space="preserve">Повећање запослености на територији општине </t>
  </si>
  <si>
    <t xml:space="preserve">Број становника који су запослени на новим радним местима а налазили су се на евиденцији НСЗ </t>
  </si>
  <si>
    <t xml:space="preserve">Подстицаји општине за развој предузетништва </t>
  </si>
  <si>
    <t xml:space="preserve">Број новооснованих предузећа на територији општине уз учешће подстицаја локалне самоуправе у односу на укупан број новооснованих предузетничких радњи </t>
  </si>
  <si>
    <t xml:space="preserve">Повећање прихода од туризма </t>
  </si>
  <si>
    <t xml:space="preserve">Проценат повећања укупног броја гостију </t>
  </si>
  <si>
    <t xml:space="preserve">Повећање квалитета туристичке понуде и услуге </t>
  </si>
  <si>
    <t>Проценат реализације програма развоја туризма општине у односу на годишњи план</t>
  </si>
  <si>
    <t xml:space="preserve">Адекватна промоција туристичке понуде општине на циљаним тржиштима </t>
  </si>
  <si>
    <t xml:space="preserve">Број дистрибуираног промотивног материјала </t>
  </si>
  <si>
    <t xml:space="preserve">Програм 5.  Пољопривреда и рурални развој </t>
  </si>
  <si>
    <t xml:space="preserve">Раст производње и стабилност дохотка произвођача </t>
  </si>
  <si>
    <t xml:space="preserve">Стварање услова за развој и унапређење пољопривредне производње </t>
  </si>
  <si>
    <t xml:space="preserve">Број учесника едукација </t>
  </si>
  <si>
    <t xml:space="preserve">Број регистрованих пољопривредних газдинстава који су корисници мера руралног развоја у односу на укупан број пољопривредних газдинстава </t>
  </si>
  <si>
    <t xml:space="preserve">Проценат територије под заштитом III категорије </t>
  </si>
  <si>
    <t>0401-0004</t>
  </si>
  <si>
    <t xml:space="preserve">Адекватан квалитет пружених услуга одвођења отпадних вода </t>
  </si>
  <si>
    <t xml:space="preserve">Број интервенција на канализационој мрежи </t>
  </si>
  <si>
    <t xml:space="preserve">Спровођење редовних мерења на територији општине и испуњење обавеза у складу са законима </t>
  </si>
  <si>
    <t xml:space="preserve">Програм 7.  Организација саобраћаја и саобраћајна инфраструктура </t>
  </si>
  <si>
    <t xml:space="preserve">Повећање безбедности учесника у саобраћају и смањење броја саобраћајних незгода  </t>
  </si>
  <si>
    <t xml:space="preserve">Број повређених људи </t>
  </si>
  <si>
    <t xml:space="preserve">Опремање и одржавање саобраћајне сигнализације на путевима и улицама </t>
  </si>
  <si>
    <t xml:space="preserve">Дужина хоризонталне саобраћајне сигнализације ( у км) </t>
  </si>
  <si>
    <t>0701-0004</t>
  </si>
  <si>
    <t xml:space="preserve">Јавни градски и приградски превоз путника </t>
  </si>
  <si>
    <t xml:space="preserve">Адекватан квалитет пружених услуга јавног превоза </t>
  </si>
  <si>
    <t xml:space="preserve">Просечна старост возила јавног превоза </t>
  </si>
  <si>
    <t xml:space="preserve">Повећање обухвата деце предшколским васпитањем и образовањем </t>
  </si>
  <si>
    <t xml:space="preserve">Проценат уписане деце у односу на број укупно пријављење деце </t>
  </si>
  <si>
    <t xml:space="preserve">Унапређења квалитета предшколског образовања и васпитања </t>
  </si>
  <si>
    <t xml:space="preserve">Број објеката у којима су извршена инвестициона улагања на годишњем нивоу , у односу на укупан број објеката ПУ </t>
  </si>
  <si>
    <t xml:space="preserve">Програм 9.  Основно образовање и васпитање </t>
  </si>
  <si>
    <t xml:space="preserve">Обухават деце основним образовањем ( разложено према полу) </t>
  </si>
  <si>
    <t xml:space="preserve">Унапређење квалитета образовања и васпитања у основним школама </t>
  </si>
  <si>
    <t xml:space="preserve">Број учесника који похађају вананаставне активности у односу на укупан број учесника </t>
  </si>
  <si>
    <t xml:space="preserve">Програм 10. Средње образовање и васпитање </t>
  </si>
  <si>
    <t xml:space="preserve">Повећање обухвата средњешколског образовања </t>
  </si>
  <si>
    <t xml:space="preserve">Број деце која су обухваћена средњим образоваењем ( разложено по полу) </t>
  </si>
  <si>
    <t xml:space="preserve">Унапређење квалитета образовања у средњим школама </t>
  </si>
  <si>
    <t xml:space="preserve">Број талентоване деце подржане од стране општине у односу на укупан број деце у школама </t>
  </si>
  <si>
    <t xml:space="preserve">Повећање доступности и права социјалне заштите </t>
  </si>
  <si>
    <t xml:space="preserve">Проценат корисника локалних социјалних услуга у односу на укупан број корисника социјалне и дечје заштите </t>
  </si>
  <si>
    <t xml:space="preserve">Број корисника једнократне новчане помоћи у односу на укупан број грађана </t>
  </si>
  <si>
    <t xml:space="preserve">Социјално деловање - олакшавање људске патње пружањем неопходне ургентне помоћи лицима у невољи , развијањем солидарности међу људима , организовањем различитих облика помоћи </t>
  </si>
  <si>
    <t xml:space="preserve">Број волонтера Црвеног крста </t>
  </si>
  <si>
    <t xml:space="preserve">Унапређење услуга социјалне заштите за децу и породицу </t>
  </si>
  <si>
    <t xml:space="preserve">Број корисника услуга </t>
  </si>
  <si>
    <t>Програм 12.  Здравствена заштита</t>
  </si>
  <si>
    <t xml:space="preserve">Унапређење здравља становништва </t>
  </si>
  <si>
    <t xml:space="preserve">Покривеност становништва примарном здравственом заштитом </t>
  </si>
  <si>
    <t xml:space="preserve">Унапређење доступности , квалитета и ефикасности ПЗЗ </t>
  </si>
  <si>
    <t xml:space="preserve">Број обраћања саветнику за заштите права пацијената </t>
  </si>
  <si>
    <t xml:space="preserve">Програм 13.  Развој културе и информисања </t>
  </si>
  <si>
    <t xml:space="preserve">Подстицање развоја културе </t>
  </si>
  <si>
    <t xml:space="preserve">Укупан број посетилаца на свим културним догађајима који су одржани </t>
  </si>
  <si>
    <t xml:space="preserve">Обезбеђење редовног функционисања установа културе </t>
  </si>
  <si>
    <t xml:space="preserve">Број запослених у установама културе у односу на укупан број запсолених у ЈЛС </t>
  </si>
  <si>
    <t xml:space="preserve">Унапређење разноврсности културне понуде </t>
  </si>
  <si>
    <t xml:space="preserve">Број програма и пројеката удружења грађана подржаних од стране општине </t>
  </si>
  <si>
    <t xml:space="preserve">Повећана понуда квалитетних медијских садржаја из области друштвеног живота локалне заједнице </t>
  </si>
  <si>
    <t xml:space="preserve">Број различитих тематских типова програма за боље информисање </t>
  </si>
  <si>
    <t xml:space="preserve">Обезбеђење услова за бављење спортом свих грађана и грађанки општине </t>
  </si>
  <si>
    <t xml:space="preserve">Број чланова спортских организација и удружења </t>
  </si>
  <si>
    <t xml:space="preserve">Унапређење рекреативног спорта </t>
  </si>
  <si>
    <t xml:space="preserve">Број програма омасовљења женског спорта </t>
  </si>
  <si>
    <t xml:space="preserve">Обезбеђивање услова за рад установа из области спорта </t>
  </si>
  <si>
    <t xml:space="preserve">Степен искоришћености капацитета установа </t>
  </si>
  <si>
    <t xml:space="preserve">Програм 15. Опште услуге локалне самоуправе </t>
  </si>
  <si>
    <t xml:space="preserve">Суфицит или дефицит локалног буџета </t>
  </si>
  <si>
    <t xml:space="preserve">Функционисање управе </t>
  </si>
  <si>
    <t xml:space="preserve">Број решених предмета по запосленом </t>
  </si>
  <si>
    <t xml:space="preserve">Број иницијатива/ предлога месних заједница према општини у вези са питањима од интереса за локално становништво </t>
  </si>
  <si>
    <t xml:space="preserve">Заштита имовинских права и интереса општине </t>
  </si>
  <si>
    <t xml:space="preserve">Број решених предмета у односу на укупан број предмета на годишњем нивоу </t>
  </si>
  <si>
    <t xml:space="preserve">Програм 16. Политички систем локалне самоуправе </t>
  </si>
  <si>
    <t xml:space="preserve">Ефикасно и ефективно функционисање органа политичког система локалне самоуправе </t>
  </si>
  <si>
    <t xml:space="preserve">Функционисање локалне скупштине </t>
  </si>
  <si>
    <t xml:space="preserve">Број усвојених аката </t>
  </si>
  <si>
    <t xml:space="preserve">Функционисање извршних органа </t>
  </si>
  <si>
    <t>0501</t>
  </si>
  <si>
    <t>УРБАНИЗАМ И ПРОСТОРНО ПЛАНИРАЊЕ</t>
  </si>
  <si>
    <t>КОМУНАЛНЕ ДЕЛАТНОСТИ</t>
  </si>
  <si>
    <t>ПОЉОПРИВРЕДА И РУРАЛНИ РАЗВОЈ</t>
  </si>
  <si>
    <t>ОРГАНИЗАЦИЈА САОБРАЋАЈА И САОБРАЋАЈНА ИНФРАСТРУКТУРА</t>
  </si>
  <si>
    <t>ПРЕДШКОЛСКО ВАСПИТАЊЕ И ОБРАЗОВАЊЕ</t>
  </si>
  <si>
    <t>ОСНОВНО ОБРАЗОВАЊЕ И ВАСПИТАЊЕ</t>
  </si>
  <si>
    <t>СРЕДЊЕ ОБРАЗОВАЊЕ И ВАСПИТАЊЕ</t>
  </si>
  <si>
    <t>ЗДРАВСТВЕНА ЗАШТИТА</t>
  </si>
  <si>
    <t>РАЗВОЈ КУЛТУРЕ И ИНФОРМИСАЊА</t>
  </si>
  <si>
    <t>ОПШТЕ УСЛУГЕ ЛОКАЛНЕ САМОУПРАВЕ</t>
  </si>
  <si>
    <t>ПОЛИТИЧКИ СИСТЕМ ЛОКАЛНЕ САМОУПРАВЕ</t>
  </si>
  <si>
    <t>ЕНЕРГЕТСКА ЕФИКАСНОСТ И ОБНОВЉИВИ ИЗВОРИ ЕНЕРГИЈЕ</t>
  </si>
  <si>
    <t>УКУПНО ЗА ПРОЈЕКАТ 1.11</t>
  </si>
  <si>
    <t>УКУПНО ЗА ПРОЈЕКАТ 1.12</t>
  </si>
  <si>
    <t>УКУПНО ЗА ПРОЈЕКАТ 1.13</t>
  </si>
  <si>
    <t>УКУПНО ЗА ПРОЈЕКАТ 1.14</t>
  </si>
  <si>
    <t>УКУПНО ЗА ПРОЈЕКАТ 1.15</t>
  </si>
  <si>
    <t>УКУПНО ЗА ПРОЈЕКАТ 1.16</t>
  </si>
  <si>
    <t>УКУПНО ЗА ПРОЈЕКАТ 1.17</t>
  </si>
  <si>
    <t>УКУПНО ЗА ПРОЈЕКАТ 1.19</t>
  </si>
  <si>
    <t>УКУПНО ЗА ПРОЈЕКАТ 1.20</t>
  </si>
  <si>
    <t>УКУПНО ЗА ПРОЈЕКАТ 1.23</t>
  </si>
  <si>
    <t>УКУПНО ЗА ПРОЈЕКАТ 1.24</t>
  </si>
  <si>
    <t>УКУПНО ЗА ПРОЈЕКАТ 1.26</t>
  </si>
  <si>
    <t>УКУПНО ЗА ПРОЈЕКАТ 1.27</t>
  </si>
  <si>
    <t>УКУПНО ЗА ПРОЈЕКАТ 1.28</t>
  </si>
  <si>
    <t>ПРОЈЕКАТ 2 - "СУБВЕНЦИОНИСАЊЕ ДЕЛА КАМАТНИХ СТОПА ЗА ПРЕДУЗЕЋА И ПРЕДУЗЕТНИКЕ"</t>
  </si>
  <si>
    <t>512</t>
  </si>
  <si>
    <t>УКУПНО ЗА ПРОЈЕКАТ 1.30</t>
  </si>
  <si>
    <t>Дотације невладиним организацијама - превоз спортиста</t>
  </si>
  <si>
    <t>ПРОЈЕКАТ 1 - "Услуге закупа клизалишта"</t>
  </si>
  <si>
    <t>Управљање отпадним водама</t>
  </si>
  <si>
    <t>ПРОГРАМ 12 - ЗДРАВСТВЕНА ЗАШТИТА</t>
  </si>
  <si>
    <t>16</t>
  </si>
  <si>
    <t>Родитељски динар за ваннаставне активности</t>
  </si>
  <si>
    <t>ПРОЈЕКАТ 1 "Општинске културне манифестације "</t>
  </si>
  <si>
    <t>УКУПНО ПРОЈЕКАТ 1 "Општинске културне манифестације "</t>
  </si>
  <si>
    <t>Услуге по уговору - Набавка "паник тастера"</t>
  </si>
  <si>
    <t>ПРОЈЕКАТ 3 - "Промоција општине Инђија"</t>
  </si>
  <si>
    <t>ПРОЈЕКАТ 4 - "ПОДСТИЦАЈИ ЗАПОШЉАВАЊА НЕЗАПОСЛЕНИХ ЛИЦА"</t>
  </si>
  <si>
    <t>УКУПНО ЗА ПРОЈЕКАТ 4</t>
  </si>
  <si>
    <t>ПРОЈЕКАТ 5 - "РАЗВОЈНИ ПРОЈЕКТИ"</t>
  </si>
  <si>
    <t>УКУПНО ЗА ПРОЈЕКАТ 5 - "РАЗВОЈНИ ПРОЈЕКТИ"</t>
  </si>
  <si>
    <t>ПРОЈЕКАТ 2 - ФИНАНСИРАЊЕ ВАНТЕЛЕСНЕ ОПЛОДЊЕ</t>
  </si>
  <si>
    <t>Накнаде за социјалну заштиту из буџета -Финансирање вантелесне оплодње</t>
  </si>
  <si>
    <t>УКУПНО ЗА ПРОЈЕКАТ 6</t>
  </si>
  <si>
    <t xml:space="preserve">УКУПНО ЗА ПРОЈЕКАТ 5 </t>
  </si>
  <si>
    <t>УКУПНО ЗА ПРОЈЕКАТ 1.21</t>
  </si>
  <si>
    <t>УКУПНО ЗА ПРОЈЕКАТ 1.22</t>
  </si>
  <si>
    <t>ПРОЈЕКАТ 1 "ОПРЕМАЊЕ ДОМА КУЛТУРЕ У МАРАДИКУ "</t>
  </si>
  <si>
    <t>УКУПНО ЗА ПРОЈЕКАТ 1 "ОПРЕМАЊЕ ДОМА КУЛТУРЕ У МАРАДИКУ "</t>
  </si>
  <si>
    <t>ПРОГРАМ 13 - РАЗВОЈ КУЛТУРЕ И ИНФОРМИСАЊА</t>
  </si>
  <si>
    <t xml:space="preserve">Коришћење пољопривредних површина у односу на укупне пољопривредне површине </t>
  </si>
  <si>
    <t xml:space="preserve">Унапређење заштите природе </t>
  </si>
  <si>
    <t xml:space="preserve">Број спроведених мерења количина комуналног отпада у складу са Законом о управљању отпадом </t>
  </si>
  <si>
    <t>Одрживо управно и финансијско функционисање општине у складу са надлежностима и пословима локалне самоуправе</t>
  </si>
  <si>
    <t xml:space="preserve">Обезбеђено задовољавање потреба и интереса локалног становништва деловањем месних заједница </t>
  </si>
  <si>
    <t>Обезбеђење услуге смештаја</t>
  </si>
  <si>
    <t>Јачање културне продукције и уметничког стваралаштва</t>
  </si>
  <si>
    <t>УКУПНО ЗА ПРОЈЕКАТ 1.32</t>
  </si>
  <si>
    <t>УКУПНО ЗА ПРОЈЕКАТ 1.33</t>
  </si>
  <si>
    <t>ПРОЈЕКАТ 1.10 - Стручни надзор на изградњи спортске сале у Инђији - IV фаза</t>
  </si>
  <si>
    <t xml:space="preserve">ПРОГРАМ 3 - ЛОКАЛНИ ЕКОНОМСКИ РАЗВОЈ </t>
  </si>
  <si>
    <t>Зграде и грађевински објекти</t>
  </si>
  <si>
    <t>ПРОЈЕКАТ 3 - ФИНАНСИРАЊЕ УСЛУГА СОЦИЈАЛНЕ ЗАШТИТЕ НА ТЕРИТОРИЈИ ОПШТИНЕ ИНЂИЈА</t>
  </si>
  <si>
    <t>ПРОЈЕКАТ 6 "Израда пројектне документације за санацију и извођење радова инвестиционог одржавања и унапређења енергетске ефикасности и противпожарне заштите на објекту техничке школе и гимназије у Инђији"</t>
  </si>
  <si>
    <t>ПРОЈЕКАТ 3 - Организовање пољочуварске службе</t>
  </si>
  <si>
    <t>ПРОЈЕКАТ 4 - Услуге премера и идентификације катастарских парцела пољопривредног земљишта у државној својини</t>
  </si>
  <si>
    <t>Унапређење административних процедура и развој адекватних сервиса и услуга за пружање подршке постојећој привреди</t>
  </si>
  <si>
    <t>Број унапређених процедура ради лакшег пословања привреде на локалном нивоу</t>
  </si>
  <si>
    <t>УКУПНО  ПРОГРАМСКА АКТИВНОСТ 0701-0004</t>
  </si>
  <si>
    <t>ПРОЈЕКАТ 5 "Успостављање истраживачког центра Милутин Миланковић у Старом Слакамену"</t>
  </si>
  <si>
    <t>УКУПНО ЗА ПРОЈЕКАТ 1.34</t>
  </si>
  <si>
    <t>ПРОЈЕКАТ 4 - ПОДРШКА ДЕЦИ И ПОРОДИЦАМА СА ДЕЦОМ ОШТЕЋЕНОМ У РАЗВОЈУ - ИНО ПРОЈЕКАТ</t>
  </si>
  <si>
    <t>421</t>
  </si>
  <si>
    <t>422</t>
  </si>
  <si>
    <t>06</t>
  </si>
  <si>
    <t>Донације од међународних организација</t>
  </si>
  <si>
    <t>УКУПНО ЗА ПРОЈЕКАТ 4 - ПОДРШКА ДЕЦИ И ПОРОДИЦАМА СА ДЕЦОМ ОШТЕЋЕНОМ У РАЗВОЈУ - ИНО ПРОЈЕКАТ</t>
  </si>
  <si>
    <t>УКУПНО ЗА ПРОЈЕКАТ 1.36</t>
  </si>
  <si>
    <t>УКУПНО  ПРОГРАМСКА АКТИВНОСТ 0602-0009</t>
  </si>
  <si>
    <t>УКУПНО  ПРОГРАМСКА АКТИВНОСТ 0602-0010</t>
  </si>
  <si>
    <t>УКУПНО  ПРОГРАМСКА АКТИВНОСТ 0901-0005</t>
  </si>
  <si>
    <t>Дотације невладиним организацијама - Верске заједнице</t>
  </si>
  <si>
    <t>УКУПНО  ПРОГРАМСКА АКТИВНОСТ 1501-0001</t>
  </si>
  <si>
    <t>УКУПНО  ПРОГРАМСКА АКТИВНОСТ 1201-0004</t>
  </si>
  <si>
    <t>УКУПНО  ПРОГРАМСКА АКТИВНОСТ 1201-0003</t>
  </si>
  <si>
    <t>Услуге по уговору - Информисање</t>
  </si>
  <si>
    <t>УКУПНО  ПРОГРАМСКА АКТИВНОСТ 1301-0001</t>
  </si>
  <si>
    <t>УКУПНО  ПРОГРАМСКА АКТИВНОСТ 0602-0001</t>
  </si>
  <si>
    <t>УКУПНО  ПРОГРАМСКА АКТИВНОСТ 0602-0002</t>
  </si>
  <si>
    <t>УКУПНО ЗА ПРОЈЕКАТ 3 "ПОКЛОНИ ЗА ИСТАКНУТЕ УЧЕНИКЕ И СПОРТИСТЕ"</t>
  </si>
  <si>
    <t>ПРОЈЕКАТ 4 "Набавка "паник тастера"</t>
  </si>
  <si>
    <t>УКУПНО ЗА ПРОЈЕКАТ 2 "ВИДЕО НАДЗОР У ОБРАЗОВНИМ УСТАНОВАМА"</t>
  </si>
  <si>
    <t>УКУПНО ЗА ПРОЈЕКАТ 1 "ВИДЕО НАДЗОР НА РАСКРСНИЦИ"</t>
  </si>
  <si>
    <t>УКУПНО ЗА ПРОЈЕКАТ 5 "Успостављање истраживачког центра Милутин Миланковић у Старом Слакамену"</t>
  </si>
  <si>
    <t>УКУПНО  ПРОГРАМСКА АКТИВНОСТ 2003-0001</t>
  </si>
  <si>
    <t>УКУПНО  ПРОГРАМСКА АКТИВНОСТ 2002-0001</t>
  </si>
  <si>
    <t>УКУПНО  ПРОГРАМСКА АКТИВНОСТ 2001-0001</t>
  </si>
  <si>
    <t>УКУПНО ЗА ПРОЈЕКАТ 4 "Набавка "паник тастера""</t>
  </si>
  <si>
    <t>УКУПНО ЗА ПРОЈЕКАТ   2  "ПОКЛОНИ ЗА ВУКОВЦЕ"</t>
  </si>
  <si>
    <t>УКУПНО ЗА ПРОЈЕКАТ  1  "ПОБОЉШАЊЕ СТАНДАРДА СТУДЕНАТА"</t>
  </si>
  <si>
    <t>УКУПНО ПРОГРАМСКА АКТИВНОСТ 1501-0001</t>
  </si>
  <si>
    <t>УКУПНО ЗА ПРОЈЕКАТ 1 - "Услуге закупа клизалишта"</t>
  </si>
  <si>
    <t>УКУПНО  ПРОГРАМСКА АКТИВНОСТ 0901-0001</t>
  </si>
  <si>
    <t>УКУПНО  ПРОГРАМСКА АКТИВНОСТ 0901-0006</t>
  </si>
  <si>
    <t>УКУПНО  ПРОГРАМСКА АКТИВНОСТ 0901-0002</t>
  </si>
  <si>
    <t>УКУПНО  ПРОЈЕКАТ 1  - БЕСПЛАТНЕ УЖИНЕ</t>
  </si>
  <si>
    <t>УКУПНО  ПРОЈЕКАТ 2 - ФИНАНСИРАЊЕ ВАНТЕЛЕСНЕ ОПЛОДЊЕ</t>
  </si>
  <si>
    <t>УКУПНО  ПРОЈЕКАТ 3 - ФИНАНСИРАЊЕ УСЛУГА СОЦИЈАЛНЕ ЗАШТИТЕ НА ТЕРИТОРИЈИ ОПШТИНЕ ИНЂИЈА</t>
  </si>
  <si>
    <t>УКУПНО  ПРОГРАМСКА АКТИВНОСТ 1801-0001</t>
  </si>
  <si>
    <t>УКУПНО  ПРОГРАМСКА АКТИВНОСТ 0701-0002</t>
  </si>
  <si>
    <t>УКУПНО  ПРОГРАМСКА АКТИВНОСТ 0101-0001</t>
  </si>
  <si>
    <t>УКУПНО  ПРОГРАМСКА АКТИВНОСТ 0101-0002</t>
  </si>
  <si>
    <t>УКУПНО  ПРОГРАМСКА АКТИВНОСТ 0401-0005</t>
  </si>
  <si>
    <t>УКУПНО  ПРОЈЕКАТ 1 - "ЈАВНИ РЕД И БЕЗБЕДНОСТ"</t>
  </si>
  <si>
    <t>ОПИС</t>
  </si>
  <si>
    <t>УКУПНО  ПРОГРАМСКА АКТИВНОСТ 1501-0003</t>
  </si>
  <si>
    <t>УКУПНО  ПРОГРАМСКА АКТИВНОСТ 2101-0002</t>
  </si>
  <si>
    <t>УКУПНО  ПРОГРАМСКА АКТИВНОСТ 2101-0001</t>
  </si>
  <si>
    <t>УКУПНО  ПРОГРАМСКА АКТИВНОСТ 0602-0004</t>
  </si>
  <si>
    <t>УКУПНО ЗА ПРОЈЕКАТ 1  "СУФИНАНСИРАЊЕ ТЕКУЋИХ РАСХОДА И ИЗДАТАКА  ДРУГИХ СУБЈЕКАТА У КУЛТУРИ"</t>
  </si>
  <si>
    <t>УКУПНО ЗА ПРОЈЕКАТ 2 "ИЗРАДА СПОМЕН ОБЕЛЕЖЈА"</t>
  </si>
  <si>
    <t>УКУПНО  ПРОГРАМСКА АКТИВНОСТ 1301-0004</t>
  </si>
  <si>
    <t>УКУПНО  ПРОГРАМСКА АКТИВНОСТ 1102-0001</t>
  </si>
  <si>
    <t>УКУПНО  ПРОГРАМСКА АКТИВНОСТ 0401-0004</t>
  </si>
  <si>
    <t>УКУПНО  ПРОГРАМСКА АКТИВНОСТ 1101-0001</t>
  </si>
  <si>
    <t>УКУПНО  ПРОГРАМСКА АКТИВНОСТ 1102-0002</t>
  </si>
  <si>
    <t>ПРОЈЕКАТ 1.2 - Школица живота - заједно за детињство - Вртић Љуково</t>
  </si>
  <si>
    <t>Приходи од продаје добара и услуга од стране тржишних организација у корист нивоа Републике</t>
  </si>
  <si>
    <t>Накнада штете за повреде или штету нанету од стране државних органа</t>
  </si>
  <si>
    <t xml:space="preserve">ПРОГРАМ 17 - ЕНЕРГЕТСКА ЕФИКАСНОСТ И ОБНОВЉИВИ ИЗВОРИ ЕНЕРГИЈЕ </t>
  </si>
  <si>
    <t>482</t>
  </si>
  <si>
    <t>ПРОЈЕКАТ 1.11 - Санација отвореног школског терена у ОШ "Бранко Радичевић" у Марадику</t>
  </si>
  <si>
    <t>Порези, обавезне таксе, казне, пенали и камате</t>
  </si>
  <si>
    <t xml:space="preserve">Програм 17. Енергетска ефикасност и обновљиви извори енергије </t>
  </si>
  <si>
    <t>Једнократне помоћи и други облици помоћи</t>
  </si>
  <si>
    <t>ПРОЈЕКАТ "ИНВЕСТИЦИЈЕ У СПОРТУ"</t>
  </si>
  <si>
    <t>УКУПНО  ПРОЈЕКАТ "ИНВЕСТИЦИЈЕ У СПОРТУ"</t>
  </si>
  <si>
    <t>УЛИЧНА РАСВЕТА</t>
  </si>
  <si>
    <t>Извори финансирања за функцију 640:</t>
  </si>
  <si>
    <t>УКУПНО функција 640</t>
  </si>
  <si>
    <t>ПРОГРАМ 8 - ПРЕДШКОЛСКО ВАСПИТАЊЕ И ОБРАЗОВАЊЕ</t>
  </si>
  <si>
    <t>Подршка деци и породици са децом</t>
  </si>
  <si>
    <t>Породични и домски смештај, прихватилишта и друге врсте смештаја</t>
  </si>
  <si>
    <t>Управљање и одржавање саобраћајне инфраструктуре</t>
  </si>
  <si>
    <t>Подршка економском развоју и промоцији предузетништва</t>
  </si>
  <si>
    <t>0401-0003</t>
  </si>
  <si>
    <t>Заштита природе</t>
  </si>
  <si>
    <t>ПРОЈЕКАТ 1 - Израда пројектне документације за изградњу вртића у Инђији</t>
  </si>
  <si>
    <t xml:space="preserve">Нематеријална имовина </t>
  </si>
  <si>
    <t>08</t>
  </si>
  <si>
    <t xml:space="preserve">Добровољни трансфери од физичких и правних лица </t>
  </si>
  <si>
    <t>Накнаде за социјалну заштиту из буџета --Центар за социјални рад "Дунав"</t>
  </si>
  <si>
    <t>Специјализоване услуге - Дан ослобођења Инђије</t>
  </si>
  <si>
    <t>Специјализоване услуге - Дан ослобођења у Првом светском рату</t>
  </si>
  <si>
    <t>Специјализоване услуге - Остале манифестације од значаја за Општину Инђија</t>
  </si>
  <si>
    <t>Конкурс "Издавање хале"</t>
  </si>
  <si>
    <t>Накнаде за социјалну заштиту из буџета - Треће дете</t>
  </si>
  <si>
    <t>Зграде и грађевински објекти  - пројектна документација</t>
  </si>
  <si>
    <t>Зграде и грађевински објекти - прва фаза</t>
  </si>
  <si>
    <t xml:space="preserve">ПРОЈЕКАТ 1.1 - Израда пројектне документације и реконструкција амбуланте у Бешки </t>
  </si>
  <si>
    <t>ПРОЈЕКАТ 1.3 - Израда пројектне документације, доградња и санација објекта предшколске установе у Бешки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</si>
  <si>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</si>
  <si>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ПРОЈЕКАТ 1 -  Реконструкција објекта ОШ Душан Јерковић (дворац Пеачевић)</t>
  </si>
  <si>
    <t>ПРОЈЕКАТ 1 - "Уређење каналске мреже у функцији одводњавања на подручју општине Инђија"</t>
  </si>
  <si>
    <t>ПРОЈЕКАТ 2  - "Уређење пољопривредне инфраструктуре-атарски путеви"</t>
  </si>
  <si>
    <t>ПРОЈЕКАТ 6  - "Изградња царинског складишта "</t>
  </si>
  <si>
    <t>Специјализоиване услуге</t>
  </si>
  <si>
    <t>ПРОЈЕКАТ "Набавка камиона кипера и камиона смећара"</t>
  </si>
  <si>
    <t>441</t>
  </si>
  <si>
    <t>444</t>
  </si>
  <si>
    <t>УКУПНО  ПРОЈЕКАТ "Набавка камиона кипера и камиона смећара"</t>
  </si>
  <si>
    <t>Специјализоване услуге - Градска слава Општине Инђија - Духови</t>
  </si>
  <si>
    <t>620</t>
  </si>
  <si>
    <t>ПРОЈЕКАТ 6 "Елаборат енергетске ефикасности зграде Центра за социјални рад "Дунав" у Инђији</t>
  </si>
  <si>
    <t>ПРОЈЕКАТ  1 "Домски смештај ученика и студената"</t>
  </si>
  <si>
    <t>Специјализоване услуге -Фактурисање</t>
  </si>
  <si>
    <t>Специјализоване услуге - Фактурисање</t>
  </si>
  <si>
    <t>Специјализоване услуге -  Фактурисање</t>
  </si>
  <si>
    <t>ПРОЈЕКАТ 1.2 Израда техничке документације на  уређењу просторија месне заједнице Стари Сланкамен</t>
  </si>
  <si>
    <t>УКУПНО ЗА ПРОЈЕКАТ 1.18</t>
  </si>
  <si>
    <t>УКУПНО ЗА ПРОЈЕКАТ 1.25</t>
  </si>
  <si>
    <t>ПРОЈЕКАТ 1.3 -  Изградња бициклистичких и пешачких стаза дуж државног пута IIА-126 у Инђији - "Оутлет"</t>
  </si>
  <si>
    <t>ПРОЈЕКАТ 1.4 -  Извођење радова  државног пута II реда -126 - лево скретање за Гумапласт</t>
  </si>
  <si>
    <t>ПРОЈЕКАТ 1.5 - Реконструкција пута Л18 Нови Сланкамен - Сурдук</t>
  </si>
  <si>
    <t>ПРОЈЕКАТ 1.6 - Израда Плана техничке регулације саобраћаја за насељена места општине Инђија</t>
  </si>
  <si>
    <t>ПРОЈЕКАТ 1.7 -Израда пројектне документације упарених аутобуских стајалишта са нишама, у коридору државног пута  у улици Цара Душана у Марадику</t>
  </si>
  <si>
    <t>ПРОЈЕКАТ 1.8 -Израда пројектне документације за изградњу кружног тока у центру Бешке</t>
  </si>
  <si>
    <t>ПРОЈЕКАТ 1.9 -Израда техничке документације саобраћајница у индустријјској зони Бешка</t>
  </si>
  <si>
    <t>ПРОЈЕКАТ 1.9 - Завршетак изградње спортске хале у Инђији - ПАРТЕРНО УРЕЂЕЊЕ</t>
  </si>
  <si>
    <t>Дотације организацијама обавезног социјалног осигурања - Здравство</t>
  </si>
  <si>
    <t>Субвенције јавним нефинансијским предузећима и организацијама</t>
  </si>
  <si>
    <t>ПРОЈЕКАТ 1.3 Санација  крова на објекту Дома културе у Новим Карловцима</t>
  </si>
  <si>
    <t>ПРОЈЕКАТ 1.4 -  Изградња кућних прикључака  фекалне канализације Бешка</t>
  </si>
  <si>
    <t>ПРОЈЕКАТ 1.5 -  Израда техничке документације  изградње фекалне канализације (Крчедин, Марадик, Нови Карловци, Нови Сланкамен и Стари Сланкамен)</t>
  </si>
  <si>
    <t>ПРОЈЕКАТ 1.6 -  Изградња колектора фекалне канализације за потребе индустријске зоне Бешка</t>
  </si>
  <si>
    <t>ПРОЈЕКАТ 1.7 - Извођење радова на опремању индустријске зоне Бешка (пут, вода и ФК)</t>
  </si>
  <si>
    <t xml:space="preserve">ПРОЈЕКАТ 1.8 - Израда Идејног решења одвођења атмосферских вода насељених места Инђија </t>
  </si>
  <si>
    <t>ПРОЈЕКАТ 1.9 - Изградња  атмосферске канализације у Војвођанској и улици Соње Маринковић</t>
  </si>
  <si>
    <t>ПРОЈЕКАТ 1.10 - Израда Идејног решења атмосферске канализације насеља Инђија - слив 3</t>
  </si>
  <si>
    <t>ПРОЈЕКАТ 1.11 - Израда пројектне документације атмосферске канализације у улици Занатлијска трећи део у Инђији</t>
  </si>
  <si>
    <t>ПРОЈЕКАТ 1.12 -Израда пројектне документације атмосферске канализације у улици Михаила Пупина  у Инђији</t>
  </si>
  <si>
    <t>ПРОЈЕКАТ 1.13 - Израда пројектне документације за изградњу јавне расвете у индустријској зони  Инђија -Локација 15</t>
  </si>
  <si>
    <t>ПРОЈЕКАТ 1.14 - Израда пројектне документације за изградњу јавне расвете у индустријској зони  Бешка</t>
  </si>
  <si>
    <t>ПРОЈЕКАТ 1.15 - Израда пројектне документације за осветљење пешачких прелаза у зони школа</t>
  </si>
  <si>
    <t>ПРОЈЕКАТ 1.16 - Израдња стубне трафо станице (СТС) Каменова  улица</t>
  </si>
  <si>
    <t>ПРОЈЕКАТ 1.17 - Израдња стубне трафо станице (СТС) Новосадска</t>
  </si>
  <si>
    <t>ПРОЈЕКАТ 1.19 - Израда пројектне документације реконструкције градске пијаце у Инђији</t>
  </si>
  <si>
    <t>ПРОЈЕКАТ 1.20 -Реконструкција градске пијаце у Инђији</t>
  </si>
  <si>
    <t xml:space="preserve">ПРОЈЕКАТ 1.21 - Изградња продужетака мреже јавне расветеу улицама на територији општине Инђија </t>
  </si>
  <si>
    <t>ПРОЈЕКАТ 1.22 - Израда пројектне документације за изградњу фекалне канализације у насељима општине Инђија  (Бешка трећа фаза, Нови Карловци, Нови Сланкамен и Стари Сланкамен)</t>
  </si>
  <si>
    <t>ПРОЈЕКАТ 1.23- Израда 3Д модела рекламних плаката и брошура за потребе инвестиција предвиђених програмом</t>
  </si>
  <si>
    <t>ПРОЈЕКАТ 1.24 - Извођење радова на опремању индустријске зоне Локација 15 - друга фаза (пут, вода и фекална канализација дуж саобраћајнице С-2)</t>
  </si>
  <si>
    <t>ПРОЈЕКАТ 1.25 -Учешће у изградњи средњенапонског далековода од Н. Сланкамена до Сурдука</t>
  </si>
  <si>
    <t>ПРОЈЕКАТ 1.26 - Изградња уличног водовода у делу улице Десанке Максимовић у Инђији</t>
  </si>
  <si>
    <t>ПРОЈЕКАТ 1.27 - Стручни надзор над изградњом водоводне мреже и фекалне канализације дуж саобраћајнице С2</t>
  </si>
  <si>
    <t>ПРОЈЕКАТ 1.28 - Стручни надзор над изградњом колектора фекалне канализације за потребе индустријске зоне Бешка</t>
  </si>
  <si>
    <t>ПРОЈЕКАТ 1.29 - Санација јавног осветљења у насељеном месту Јарковци у општини Инђија</t>
  </si>
  <si>
    <t>УКУПНО ЗА ПРОЈЕКАТ 1.29</t>
  </si>
  <si>
    <t>ПРОЈЕКАТ 1.15 - Израда пројектне документације проширења коловоза у улици Соње Маринковић у Инђији</t>
  </si>
  <si>
    <t>ПРОЈЕКАТ 1.16 - Израда пројектне документације проширења коловоза у улици Фрушкогорска у Новом Сланкамену</t>
  </si>
  <si>
    <t>ПРОЈЕКАТ 1.17 - Израда пројектне документације марине у Старом Сланкамену</t>
  </si>
  <si>
    <t>ПРОЈЕКАТ 1.18 - Израда пројектне документације за изградњу пешачких семафора на државном путу II А  - 100 кроз насељено место Инђија</t>
  </si>
  <si>
    <t>ПРОЈЕКАТ 1.19- Израда пројеката техничке  регулације саобраћаја за време извођења радова</t>
  </si>
  <si>
    <t>ПРОЈЕКАТ 1.20 - Израда пројекатне документације за изградњу пешачко бициклистичке стазе од Инђије до Јарковаца дуж пута Л-22 са јавном расветом</t>
  </si>
  <si>
    <t>ПРОЈЕКАТ 1.22 - Набавка опреме за посебна паркиралишта</t>
  </si>
  <si>
    <t>ПРОЈЕКАТ 1.23 - Стручни надзор над изградњом сервисне саобраћајнице у североисточној радној зони деоница од "Монуса" до "Гумапласта"</t>
  </si>
  <si>
    <t>ПРОЈЕКАТ 1.25 - Реконструкција крова ФК Љуково</t>
  </si>
  <si>
    <t>ПРОЈЕКАТ 1.26 - Израда пројектне документације за изградњу паркинга у улици Краља Петра</t>
  </si>
  <si>
    <t>ПРОЈЕКАТ 1.27 - Изградња паркинга у улици Краља Петра</t>
  </si>
  <si>
    <t>ПРОЈЕКАТ 1.28 - Израда пројектне документације за изградњу паркинга у Блоку 44 у Инђији - Ламела</t>
  </si>
  <si>
    <t>ПРОЈЕКАТ 1.29 - Изградња паркинга у Блоку 44 у Инђији - Ламела</t>
  </si>
  <si>
    <t>УКУПНО ЗА ПРОЈЕКАТ 1.31</t>
  </si>
  <si>
    <t>ПРОЈЕКАТ 1.32 - Појачано одржавање коловоза ДП другог реда рег. пут број Р-109 од км 10+662,15 до км 10+861,64 са кружном раскрсницом у Инђији (Обилићев венац)</t>
  </si>
  <si>
    <t>ПРОЈЕКАТ 1.34 - Асфалтирање улица по насељеним местима општине Инђија</t>
  </si>
  <si>
    <t>ПРОЈЕКАТ 1.35 - Набавка вибро плоча са алатом</t>
  </si>
  <si>
    <t>УКУПНО ЗА ПРОЈЕКАТ 1.35</t>
  </si>
  <si>
    <t>ПРОЈЕКАТ 1.36 - Реконструкција пута на деоници Банстол - Хотел Норцев</t>
  </si>
  <si>
    <t xml:space="preserve">ПРОЈЕКАТ 1.37 - Изградња саобраћајнице С2 и фекалне канализације дуж саобраћајнице С3 </t>
  </si>
  <si>
    <t>УКУПНО ЗА ПРОЈЕКАТ 1.37</t>
  </si>
  <si>
    <t>ПРОЈЕКАТ 1.38 Стручни надзор над изградњом саобраћајнице С2  и фекалне канализације дуж саобраћајнице С3</t>
  </si>
  <si>
    <t>УКУПНО ЗА ПРОЈЕКАТ 1.38</t>
  </si>
  <si>
    <t>ПРОЈЕКАТ 1.39 - Изградња саобраћајнице С1 и С2 (II фаза) у радној зони бр. 15 у Инђији са хидротехничком инфраструктуром - Пројекат водоводне мреже  (II фаза - С2)</t>
  </si>
  <si>
    <t>УКУПНО ЗА ПРОЈЕКАТ 1.39</t>
  </si>
  <si>
    <t>ПРОЈЕКАТ 1.40 - Изградња ВН кабла у радној зони  Локација 15 у коридору саобраћајнице С3 у дужини од 1300 м  (до раскрснице   С2 и С3   ) у Инђији са хидротехничком инфраструктуром - Пројекат водоводне мреже  (II фаза - С2)</t>
  </si>
  <si>
    <t>УКУПНО ЗА ПРОЈЕКАТ 1.40</t>
  </si>
  <si>
    <t>ПРОЈЕКАТ 1.41 Израда техничке документације за уређење комплекса пијаце у Бешки</t>
  </si>
  <si>
    <t>УКУПНО ЗА ПРОЈЕКАТ 1.41</t>
  </si>
  <si>
    <t>ПРОЈЕКАТ 1.2 - Израда плана детаљне регулације дела блока 9 у насељу Бешка намењеном за спортско рекреативне садржаје и изградњу спортске сале</t>
  </si>
  <si>
    <t>ПРОЈЕКАТ 1.4- Израда пројектне документације реконструкције стадиона Хајдук у Бешки</t>
  </si>
  <si>
    <t>ПРОЈЕКАТ 1.6 - Израда пројектне документације и изградња тротоара око спортске хале у Инђији</t>
  </si>
  <si>
    <t>ПРОЈЕКАТ 1.8 - Изградња спортске сале у Инђији - IV фаза</t>
  </si>
  <si>
    <t>ПРОЈЕКАТ 1 - Израда геомеханичког елабората земљишта на локацији 15 у Инђији</t>
  </si>
  <si>
    <t>ПРОЈЕКАТ 1 "Постројење за припрему воде"</t>
  </si>
  <si>
    <t>ПРОЈЕКАТ 2 ЈКП ""Водовод и канализација" изградња сабирних цевовода и батерије бунара б23, б24 и б25 на инђијском изворишту на катастарским парцелама 7510/16, 7510/20, 7510/24 и 7710/14, све к.о. Инђија - фаза  i / изградња сабирног цевовода и бушење бунара б-24д и б-24п, изградња бунарских шахтова и ограде бунара/</t>
  </si>
  <si>
    <t>ПРОЈЕКАТ 3 ЈКП "Водовод и канализација"  пројекат за грађевинску дозволу за изградњу сабирних цевовода и батерије бунара б23, б24 и б25 на инђијском изворишту на катастарским парцелама 7510/16, 7510/20, 7510/24 и 7710/14, све к.о. Инђија</t>
  </si>
  <si>
    <t>ПРОЈЕКАТ 4 ЈКП "Водовод и канализација" изградња сабирних цевовода и батерије бунара б23, б24 и б25 на инђијском изворишту на катастарским парцелама 7510/16, 7510/24 и 7710/14, све ко Инђија - фаза 4 изградња сабирног цевовода, напојног вода и бушење и опремање бунара б25д и б25п</t>
  </si>
  <si>
    <t>следећим износима:</t>
  </si>
  <si>
    <t>Приходи од продаје добара и услуга или закупа од стране тржишних организација у корист нивоа општина</t>
  </si>
  <si>
    <t>Специјализоване услуге - Дератизација</t>
  </si>
  <si>
    <t>План 
01.01 - 31.12.2018.</t>
  </si>
  <si>
    <t xml:space="preserve">Средства из буџета </t>
  </si>
  <si>
    <t>Унапређење заштите природних вредности</t>
  </si>
  <si>
    <t>ПРОЈЕКАТ 1.4 - Израда пројектне документације за доградњу вртића у Новом Сланкамену</t>
  </si>
  <si>
    <t>ПРОЈЕКАТ 2- "ИЗРАДА СПОМЕН ОБЕЛЕЖЈА"</t>
  </si>
  <si>
    <t>Набавка путничког аутомобила</t>
  </si>
  <si>
    <t xml:space="preserve">ПРОЈЕКАТ  2 "Л А П - за унапређење образовања, запошљавања, здравља и становања Рома у општини Инђија 2016-2020. година" </t>
  </si>
  <si>
    <t>ПРОЈЕКАТ 1 - ТШ "Михајло Пупин" Инђија - Адаптација фискултурне сале</t>
  </si>
  <si>
    <t>ПРОЈЕКАТ 1.30 - Изградња саобраћајнице у Улици Нова 3 -  Блок 44 у Инђији</t>
  </si>
  <si>
    <t>ПРОЈЕКАТ 1.31 - Изградња саобраћајног прикључка  Улице Нове 3 на државни пут другог реда бр. 100 у Инђији</t>
  </si>
  <si>
    <t>УКУПНО  ПРОГРАМСКА АКТИВНОСТ 0401-0003</t>
  </si>
  <si>
    <t>Унапређење руралног развоја</t>
  </si>
  <si>
    <t>Функционисање и остваривање предшколског васпитања и образовања</t>
  </si>
  <si>
    <t>функционисање средњих школа</t>
  </si>
  <si>
    <t>Просечан број дана по кориснику услуге</t>
  </si>
  <si>
    <t xml:space="preserve">Унапређење презентације  културног  наслеђа  </t>
  </si>
  <si>
    <t>Број реализованих програма који промовишу локално културно историјског наслеђа у односу на број планираних програма</t>
  </si>
  <si>
    <t>ПРОЈЕКАТ 1.5 - Израда пројектне докумемнтације и извођење радова за хидромасажни базен и плато</t>
  </si>
  <si>
    <t>337/1</t>
  </si>
  <si>
    <t>ПРОЈЕКАТ 1.2А -Израда и монтажа надстрешница за аутобуска стајалишта на територији општине Инђија</t>
  </si>
  <si>
    <t>295/1</t>
  </si>
  <si>
    <t>330/1</t>
  </si>
  <si>
    <t>331/1</t>
  </si>
  <si>
    <t>329/1</t>
  </si>
  <si>
    <t>329/2</t>
  </si>
  <si>
    <t>ПРОЈЕКАТ 1.29А - Израда пројектне документације и изградња саобраћајнице у Улици Нова 2 - Прва фаза</t>
  </si>
  <si>
    <t xml:space="preserve">ПРЕДСЕДНИК ОПШТИНЕ </t>
  </si>
  <si>
    <t>ОПШТИНСКО ВЕЋЕ</t>
  </si>
  <si>
    <t>III/1</t>
  </si>
  <si>
    <t>УКУПНО РАЗДЕО III/1</t>
  </si>
  <si>
    <t>53/1</t>
  </si>
  <si>
    <t>Специјализоване услуге - Јубилеј 500 година од изградње Храма Св. Никола у Старом Сланкамену</t>
  </si>
  <si>
    <t>ПРОЈЕКАТ 1.11 - Израда пројектне документације, изградња и реконструкција тротоара у насељу  Нови Карловци</t>
  </si>
  <si>
    <t>ПРОЈЕКАТ 1.11А - Израда пројектне документације за  реконструкцију раскрснице улица Лукачева (ДП другог реда), Главне и Челенске у насељу  Нови Карловци</t>
  </si>
  <si>
    <t>308/1</t>
  </si>
  <si>
    <t>ПРОЈЕКАТ "Модернизација рада Скупштине општине Инђија"</t>
  </si>
  <si>
    <t>81/1</t>
  </si>
  <si>
    <t>УКУПНО  ПРОЈЕКАТ "Модернизација рада Скупштине општине Инђија"</t>
  </si>
  <si>
    <t>336/1</t>
  </si>
  <si>
    <t>336/2</t>
  </si>
  <si>
    <t>ПРОЈЕКАТ 1.34А - Појачано одржавање (рехабилитација) Голубиначке улице у  Инђији</t>
  </si>
  <si>
    <t>ПРОЈЕКАТ 3А "СТИПЕНДИЈЕ ЗА СПОРТИСТЕ"</t>
  </si>
  <si>
    <t>112/1</t>
  </si>
  <si>
    <t>Спортске стипендије</t>
  </si>
  <si>
    <t>384/1</t>
  </si>
  <si>
    <t xml:space="preserve">ПРОЈЕКАТ 4А - Узорковање  земљишта </t>
  </si>
  <si>
    <t>УКУПНО ЗА ПРОЈЕКАТ 4А</t>
  </si>
  <si>
    <t>ПРОЈЕКАТ 1.24 - Израда пројектне документације и изградња пешачке стазе у целој дужини у улици Н. Тесле у Љукову</t>
  </si>
  <si>
    <t>324/1</t>
  </si>
  <si>
    <t>324/2</t>
  </si>
  <si>
    <t>ПРОЈЕКАТ 1.24А - Израда пројектне документације и изградња пешачке стазе  у улици 1. Новембра до Н. Тесле у Љукову</t>
  </si>
  <si>
    <t>384/2</t>
  </si>
  <si>
    <t>ПРАВОБРАНИЛАШТВО ОПШТИНЕ ИНЂИЈА</t>
  </si>
  <si>
    <t>ПРОЈЕКАТ 1.34Б - Теренска и лабораторијска испитивања код изградње и асфалтирања путева</t>
  </si>
  <si>
    <t>336/3</t>
  </si>
  <si>
    <t>10</t>
  </si>
  <si>
    <t>Примања од домаћих задуживања</t>
  </si>
  <si>
    <t>304/1</t>
  </si>
  <si>
    <t>304/2</t>
  </si>
  <si>
    <t>ПРОЈЕКАТ 1.3 - Изградња спортске хале у Бешки прва фаза</t>
  </si>
  <si>
    <t>324/3</t>
  </si>
  <si>
    <t>324/4</t>
  </si>
  <si>
    <t>ПРОЈЕКАТ 1.24Б - Реконструкција и асфалтирање улице 1. Новембра у  Љукову</t>
  </si>
  <si>
    <t>310/1</t>
  </si>
  <si>
    <t>310/2</t>
  </si>
  <si>
    <t>ПРОЈЕКАТ 1.12А - Изградња пешачке стазе у улици Цара Душана у Новом Сланкамену -лева страна из правца Инђије</t>
  </si>
  <si>
    <t>ПРОЈЕКАТ 1.11Б - Израда пројектне документације и  реконструкција пута од Виле "Станковић" у Чортановцима до Дунава</t>
  </si>
  <si>
    <t>308/2</t>
  </si>
  <si>
    <t>308/3</t>
  </si>
  <si>
    <t>УКУПНО ЗА ПРОЈЕКАТ 1.11А</t>
  </si>
  <si>
    <t>УКУПНО ЗА ПРОЈЕКАТ 1.11Б</t>
  </si>
  <si>
    <t>ПРОЈЕКАТ 1.А Изградња Трга Слободе у центру Инђије (фонтана)</t>
  </si>
  <si>
    <t>Примања од задуживања од пословних банака у земљи у корист нивоа општина</t>
  </si>
  <si>
    <t>ПРИМАЊА ОД ЗАДУЖИВАЊА ОД ПОСЛОВНИХ БАНАКА У ЗЕМЉИ</t>
  </si>
  <si>
    <t>V. ИЗДАЦИ ПО ОСНОВУ ДАТИХ ПОЗАЈМИЦА И НАБАВКЕ ФИНАСИЈСКЕ ИМОВИНЕ</t>
  </si>
  <si>
    <t>51/1</t>
  </si>
  <si>
    <t>58/1</t>
  </si>
  <si>
    <t>58/2</t>
  </si>
  <si>
    <t>291/1</t>
  </si>
  <si>
    <t>291/2</t>
  </si>
  <si>
    <t>УКУПНО ЗА ПРОЈЕКАТ 1.А</t>
  </si>
  <si>
    <t>УКУПНО ЗА ПРОЈЕКАТ 1.2А</t>
  </si>
  <si>
    <t>ПРОЈЕКАТ 1.8А - Реконструкција и асфалтирање улице Краља Петра првог у  Бешки</t>
  </si>
  <si>
    <t>УКУПНО ЗА ПРОЈЕКАТ 1.8А</t>
  </si>
  <si>
    <t>УКУПНО ЗА ПРОЈЕКАТ 1.12А</t>
  </si>
  <si>
    <t>УКУПНО ЗА ПРОЈЕКАТ 1.24А</t>
  </si>
  <si>
    <t>УКУПНО ЗА ПРОЈЕКАТ 1.24Б</t>
  </si>
  <si>
    <t>УКУПНО ЗА ПРОЈЕКАТ 1.29А</t>
  </si>
  <si>
    <t>УКУПНО ЗА ПРОЈЕКАТ 1.34А</t>
  </si>
  <si>
    <t>УКУПНО ЗА ПРОЈЕКАТ 1.34Б</t>
  </si>
  <si>
    <t>УКУПНО ЗА ПРОЈЕКАТ 4Б</t>
  </si>
  <si>
    <t xml:space="preserve">Члан 2. </t>
  </si>
  <si>
    <t>Члан 3.</t>
  </si>
  <si>
    <t>Члан 5. мења се и гласи "Укупни приходи и примања буџета, као и расходи и издаци буџета утврђују се билансом према економској класификацији у</t>
  </si>
  <si>
    <t>Члан 7. мења се и гласи: "Расходи и издаци ове Одлуке користиће се за следећа програме:</t>
  </si>
  <si>
    <t>Специјализоване услуге - Буџетски фонд за заштиту животне средине (дератизација, запрашивање комараца, заштита од амброзије и друго)</t>
  </si>
  <si>
    <t>ПРОЈЕКАТ "Набавка возила (ПАУК) "</t>
  </si>
  <si>
    <t>88/1</t>
  </si>
  <si>
    <t>88/2</t>
  </si>
  <si>
    <t>88/3</t>
  </si>
  <si>
    <t>УКУПНО  ПРОЈЕКАТ "Набавка возила (ПАУК) "</t>
  </si>
  <si>
    <t>371/1</t>
  </si>
  <si>
    <t>ПРОЈЕКАТ 4 ЈКП "Водовод и канализација" Повезани цевовод Инђија - Бешка - Фаза I (од фабрике Грундфосс до шахта Ш6 код ЦС Бешка -Југ)</t>
  </si>
  <si>
    <t>О РЕБАЛАНСУ БУЏЕТА ОПШТИНЕ ИНЂИЈА ЗА 2018. ГОДИНУ</t>
  </si>
  <si>
    <t>336/21</t>
  </si>
  <si>
    <t>336/22</t>
  </si>
  <si>
    <t>ПРОЈЕКАТ 4Б - Пројекат  - Набавка софтвера за прецизну пољопривреду</t>
  </si>
  <si>
    <t>ПРОЈЕКАТ 1.34А1 - Појачано одржавање (рехабилитација) саобраћајнице Крчедин - Сасе</t>
  </si>
  <si>
    <t>ПРОЈЕКАТ 1.3А Текуће одржавњеа фасаде и просторија амбуланте у Новим Карловцима</t>
  </si>
  <si>
    <t>262/1</t>
  </si>
  <si>
    <t>262/2</t>
  </si>
  <si>
    <t>304/А</t>
  </si>
  <si>
    <t>302/1</t>
  </si>
  <si>
    <t>ПРОЈЕКАТ 1.6А - Израда Плана превентивних мера о повременим и привременим градилиштима</t>
  </si>
  <si>
    <t>ПРОЈЕКАТ 1.1 - Израда пројектне документације и  изградња новог објекта за предшколску установу - прва фаза</t>
  </si>
  <si>
    <t>169/1</t>
  </si>
  <si>
    <t>ПРОЈЕКАТ 1.1А - Доградња вртића на објекту "Невен" у Инђији</t>
  </si>
  <si>
    <t>169/2</t>
  </si>
  <si>
    <t>53/2</t>
  </si>
  <si>
    <t>Специјализоване услуге - Игре без граница</t>
  </si>
  <si>
    <t>Примања од продаје непокретности у корист нивоа општина</t>
  </si>
  <si>
    <t>ПРИМАЊА ОД ПРОДАЈЕ НЕПОКРЕТНОСТИ</t>
  </si>
  <si>
    <t>388/1</t>
  </si>
  <si>
    <t>Услуге по уговору - Торбе за ђаке прваке</t>
  </si>
  <si>
    <t>291/А</t>
  </si>
  <si>
    <t>ПРОЈЕКАТ 1.30 - Израда претходне студије оправданости за пречишћавање отпадних вода у индустријској зони у Инђији</t>
  </si>
  <si>
    <t>388/2</t>
  </si>
  <si>
    <t xml:space="preserve">Услуге по уговору - Израда софтвера, програмска презентација Општине Инђија </t>
  </si>
  <si>
    <t>1102-0004</t>
  </si>
  <si>
    <t>Зоохигијена</t>
  </si>
  <si>
    <t>400/1</t>
  </si>
  <si>
    <t>УКУПНО  ПРОГРАМСКА АКТИВНОСТ 1102-0004</t>
  </si>
  <si>
    <t>85/1</t>
  </si>
  <si>
    <t xml:space="preserve">Повећање покривености територије комуналним делатностима одржавања јавних зелених површина, одржавање чистоће на јавним површинама јавне намене и зоохигијене </t>
  </si>
  <si>
    <t>Број м2 територије покривен услугом зоохигијене у односу на укупан број м2 територије</t>
  </si>
  <si>
    <t>ПРОЈЕКАТ 1.8.1-Израда пројектне документације за изградњу кружног тока у Новом Сланкамену - раскрсница улица Цара Душана, Фрушкогорска и Дунавска</t>
  </si>
  <si>
    <t>ПРОЈЕКАТ 1.8 - Изградња спортске хале у Инђији - IV фаза</t>
  </si>
  <si>
    <t>УКУПНО ЗА ПРОЈЕКАТ 2 "ИЗГРАДЊА ДОМА КУЛТУРЕ У КРЧЕДИНУ "</t>
  </si>
  <si>
    <t>УКУПНО ЗА ПРОЈЕКАТ 1.6А</t>
  </si>
  <si>
    <t>УКУПНО ЗА ПРОЈЕКАТ 1.8.1</t>
  </si>
  <si>
    <t>УКУПНО ЗА ПРОЈЕКАТ 1.34А1</t>
  </si>
  <si>
    <t>0602-0003</t>
  </si>
  <si>
    <t>Сервисирање јавног дуга</t>
  </si>
  <si>
    <t>84/1</t>
  </si>
  <si>
    <t>84/2</t>
  </si>
  <si>
    <t>УКУПНО  ПРОГРАМСКА АКТИВНОСТ 0602-0003</t>
  </si>
  <si>
    <t>ПРИМАЊА ОД ПРОДАЈЕ ПОКРЕТНИХ СТВАРИ</t>
  </si>
  <si>
    <t>Примања од продаје покретних ствари у корист нивоа општина</t>
  </si>
  <si>
    <t>287/1</t>
  </si>
  <si>
    <t>384/3</t>
  </si>
  <si>
    <t>Додатни приходи и приходи
 индиректних корисника</t>
  </si>
  <si>
    <t>85/2</t>
  </si>
  <si>
    <t>334/1</t>
  </si>
  <si>
    <t>334/2</t>
  </si>
  <si>
    <t>УКУПНО ЗА ПРОЈЕКАТ 7</t>
  </si>
  <si>
    <t>ПРОЈЕКАТ 7  - "Израда пројектне документације и реконструкција зграде суда  у Инђији "</t>
  </si>
  <si>
    <t>395/1</t>
  </si>
  <si>
    <t>395/2</t>
  </si>
  <si>
    <t>118/1</t>
  </si>
  <si>
    <t>118/2</t>
  </si>
  <si>
    <t>УКУПНО ЗА ПРОЈЕКАТ 3 "ВИДЕО НАДЗОР У ЈАВНОМ ИНТЕРЕСУ ОПШТИНЕ ИНЂИЈЕ"</t>
  </si>
  <si>
    <t>ПРОЈЕКАТ 3 "ВИДЕО НАДЗОР ОД ЈАВНОГ ИНТЕРЕСА ЗА ОПШТИНУ ИНЂИЈА"</t>
  </si>
  <si>
    <t>356/1</t>
  </si>
  <si>
    <t>Дотације невладиним организацијама - спортске организације и спортисти - Инвестиције</t>
  </si>
  <si>
    <t>169/3</t>
  </si>
  <si>
    <t>170/1</t>
  </si>
  <si>
    <t>276/1</t>
  </si>
  <si>
    <t>277/1</t>
  </si>
  <si>
    <t>282/1</t>
  </si>
  <si>
    <t>ПРОЈЕКАТ 1.1 Израда пројектне документације и изградња пешачке стазе до Лесног профила</t>
  </si>
  <si>
    <t>ПРОЈЕКАТ 1.2 - Израда пројектне документације и изградња упарених аутобуских стајалишта у Инђији, у улици Цара Душана</t>
  </si>
  <si>
    <t>ПРОЈЕКАТ 1.А Израда пројектне документације и реконструкција  Трга Слободе у центру Инђије (фонтана)</t>
  </si>
  <si>
    <t>ПРОЈЕКАТ 1.10 - Израда пројектне документације и уређење ужег дела центра насеља  Крчедин</t>
  </si>
  <si>
    <t>ПРОЈЕКАТ 1.12А -Израда пројектне документације и изградња пешачке стазе у улици Цара Душана у Новом Сланкамену -лева страна из правца Инђије</t>
  </si>
  <si>
    <t>ПРОЈЕКАТ 1.13 - Израда пројектне документације и реконструкција крова и фасаде на објекту МЗ Нови Сланкамен</t>
  </si>
  <si>
    <t>ПРОЈЕКАТ 1.14 - Израда пројектне документације и изградња аутобуских стајалишта у улици Цара Душана у Крчедину</t>
  </si>
  <si>
    <t>365/1</t>
  </si>
  <si>
    <t>365/2</t>
  </si>
  <si>
    <t>ПРОЈЕКАТ 1 - Израда пројектне и техничке документације и рушење станова у бр. 6, 8 и 10 у Железничкој улици у Инђији</t>
  </si>
  <si>
    <t>ПРОЈЕКАТ 1.33А - Санација, поправка и извођење радова на пешачким стазама - тротоарима по насељеним местима општине Инђија</t>
  </si>
  <si>
    <t>363/1</t>
  </si>
  <si>
    <t>363/2</t>
  </si>
  <si>
    <t>ПРОЈЕКАТ 1.12 "ИНВЕСТИЦИЈЕ У СПОРТУ"</t>
  </si>
  <si>
    <t>УКУПНО  ПРОЈЕКАТ 1.12 "ИНВЕСТИЦИЈЕ У СПОРТУ"</t>
  </si>
  <si>
    <t>ПРОЈЕКАТ 1.1 Израда пројектне документације и извођење радова на уређењу објекта месне заједнице и полиције у Бешки</t>
  </si>
  <si>
    <t>286/1</t>
  </si>
  <si>
    <t>ПРОЈЕКАТ 1.24А - Извођење радова на опремању индустријске зоне Локација 15 - друга фаза (пут, вода и фекална канализација дуж саобраћајнице С-2) - фаза изградње фекалне канализације дуж десног крака саобраћајнице С2 од шахта Ф3-19 до шахта Ф2-27</t>
  </si>
  <si>
    <t>ПРОЈЕКАТ 1.21 - Израда пројектне документације и изградња паркинга у центру Марадика</t>
  </si>
  <si>
    <t>319/1</t>
  </si>
  <si>
    <t>326/1</t>
  </si>
  <si>
    <t>328/1</t>
  </si>
  <si>
    <t>333/1</t>
  </si>
  <si>
    <t>ПРОЈЕКАТ 1.7 - Израда пројекта и изградња на спортским теренима у Лејама - прва фаза</t>
  </si>
  <si>
    <t>УКУПНО ЗА ПРОЈЕКАТ 1.7А</t>
  </si>
  <si>
    <t>ПРОЈЕКАТ 1.7А  - Израда пројекта и изградња трим стазе са јавним осветљењем у Лејама</t>
  </si>
  <si>
    <t>358/1</t>
  </si>
  <si>
    <t>358/2</t>
  </si>
  <si>
    <t>358/3</t>
  </si>
  <si>
    <t>ПРОЈЕКАТ 1.33 Израда пројектне документације и изградња пешачке стазе од градског базена до "Бразде" у Инђији</t>
  </si>
  <si>
    <t>ПРОЈЕКАТ "Израда пројектне документације, адаптација и надоградња II спрата "Виле Љубица" у Сутомору "</t>
  </si>
  <si>
    <t>УКУПНО  ПРОJEKAT 1</t>
  </si>
  <si>
    <t>81/2</t>
  </si>
  <si>
    <t>ПРОЈЕКАТ 2 "ИЗГРАДЊА ДОМА КУЛТУРЕ У КРЧЕДИНУ "</t>
  </si>
  <si>
    <t>УКУПНО  ПРОЈЕКАТ "Реконструкција зграде Месне заједнице у Старом Сланкамену"</t>
  </si>
  <si>
    <t>ПРОЈЕКАТ 4Б - Пројекат - набавка софтвера за прецизну пољопривреду</t>
  </si>
  <si>
    <t>% учешћа у укупној вредности</t>
  </si>
  <si>
    <t>ПРОЈЕКАТ 4A  ЈКП "Водовод и канализација" Повезани цевовод Инђија - Бешка - Фаза I (од фабрике Грундфосс до шахта Ш6 код ЦС Бешка -Југ)</t>
  </si>
  <si>
    <t>УКУПНО ЗА ПРОЈЕКАТ 4A</t>
  </si>
  <si>
    <t>13</t>
  </si>
  <si>
    <t>Нераспоређен вишак прихода из ранијих година</t>
  </si>
  <si>
    <t xml:space="preserve">Текућа буџетска резерва </t>
  </si>
  <si>
    <t>ПРОЈЕКАТ "Реконструкција зграде Месне заједнице у Старом Сланкамену"</t>
  </si>
  <si>
    <t>УКУПНО  ПРОЈЕКАТ "Израда пројектне документације, адаптација и надоградња II спрата "Виле Љубица" у Сутомору "</t>
  </si>
  <si>
    <t>ПРОЈЕКАТ 1.18 - Учешће у изградњи продужетака НН мреже у Калакачи Бешка</t>
  </si>
  <si>
    <t>Члан 8. мења се и гласи: "Планирани капитални издаци буџетских корисника за 2018, 2019. и 2020. годину исказују се у следећем прегледу:</t>
  </si>
  <si>
    <t>ПРОЈЕКАТ 1.20 - Реконструкција градске пијаце у Инђији</t>
  </si>
  <si>
    <t>Члан 6. мења се и гласи: "Приходи и примања који представљају буџетска средства утврђени су у следећим износима у Рачуну прихода и</t>
  </si>
  <si>
    <t>примања, расхода и издатака.</t>
  </si>
  <si>
    <t>На основу чл. 43. чл.  47. и чл.  63. Закона о буџетском систему ("Службени гласник  Републике Србије" 54/09, 73/10, 101/10,101/11, 93/12,</t>
  </si>
  <si>
    <t>62/13, 63/13-исправка, 108/13, 142/14, 68/15-др.закон, 103/15, 99/16 и 113/17) и члана 32. став 1. тачка 2. Закона о локалној самоуправи  ("Службени гласник Републике</t>
  </si>
  <si>
    <t>Србије" 129/07, 83/14, 101/16 и 47/18) и члана 37. став 1. тачка 2 Статута Општине Инђија  ("Службени лист општине Инђија", бр. 9/13 - пречишћен тексти 7/18)</t>
  </si>
  <si>
    <t>363/А</t>
  </si>
  <si>
    <t>ПРОЈЕКАТ 1.12 - Израда пројектно техничке документације за реконструкцију слободног профила улице Цара Душана у постојећој регулацији у насељу Нови Сланкамен на деоници раскрснице са улицом Вука  Караџића до раскрснице са улицом Светосавском и извођење радова</t>
  </si>
  <si>
    <t>ПРОЈЕКАТ 2 "СУФИНАСИРАЊЕ ПРОЈЕКТА - АКТИВНИ ПОТРОШАЧИ"</t>
  </si>
  <si>
    <t>48/1</t>
  </si>
  <si>
    <t>ПРОГРАМ 17 - ЕНЕРГЕТСКА ЕФИКАСНОСТ И ОБНОВЉИВИ ИЗВОРИ ЕНЕРГИЈЕ</t>
  </si>
  <si>
    <t>0501-0001</t>
  </si>
  <si>
    <t>Унапређење и побољшање енергетске ефикасности и употреба обновљивих извора енергије</t>
  </si>
  <si>
    <t>222/1</t>
  </si>
  <si>
    <t>1301-0005</t>
  </si>
  <si>
    <t>Спровођење омладинске политике</t>
  </si>
  <si>
    <t>225/1</t>
  </si>
  <si>
    <t>225/2</t>
  </si>
  <si>
    <t>225/3</t>
  </si>
  <si>
    <t>1801-0003</t>
  </si>
  <si>
    <t>Спровођење активности из области друштвене бриге за јавно здравље</t>
  </si>
  <si>
    <t>249/1</t>
  </si>
  <si>
    <t>УКУПНО  ПРОГРАМСКА АКТИВНОСТ 1801-0003</t>
  </si>
  <si>
    <t>ПРОЈЕКАТ 1.1 - Припрема, допуна документације и исходовање документације за завршетак радова на спортској хали у Инђији до добијања употребне дозволе</t>
  </si>
  <si>
    <t>Комунална такса за приређивање музичког програмау угоститељским објектима</t>
  </si>
  <si>
    <t>Накнада за коришћење природних добара</t>
  </si>
  <si>
    <t>УКУПНО  ПРОГРАМСКА АКТИВНОСТ 0501-0001</t>
  </si>
  <si>
    <t>Енергетски менаџмент</t>
  </si>
  <si>
    <t>Процентуално учешће расхода за набавку енергије у укупним расходима</t>
  </si>
  <si>
    <t>Подршка активном укључивању младих у различите друштвене активности</t>
  </si>
  <si>
    <t>Број младих корисника услуга мера омладинске политике</t>
  </si>
  <si>
    <t>УКУПНО  ПРОГРАМСКА АКТИВНОСТ 1301-0005</t>
  </si>
  <si>
    <t>Члан 8.</t>
  </si>
  <si>
    <t>Ову Одлуку доставити Министарству финансија Републике Србије.</t>
  </si>
  <si>
    <t>Ова Одлука ступа на снагу наредног дана од дана објављивања у "Службеном листу општине Инђија".</t>
  </si>
  <si>
    <t xml:space="preserve">У Одлуци о буџету Општине Инђија за 2018. годину ("Сл. лист општине Инђија", 30/17, 7/18, 12/18 и 21/18), у члану 2. износ: "5.049.070.000,00" замењује </t>
  </si>
  <si>
    <t>се износом "4.644.562.000,00",  износ  "5.019.257.200,00" замењује се износом "4.615.329.200,00" и износ  "29.812.800,00" замењује се износом "29.232.800,00" .</t>
  </si>
  <si>
    <t xml:space="preserve">У члану 4. став 1. износ "29.436.782,00", замењује се износом "28.824.198,00".                               </t>
  </si>
  <si>
    <t xml:space="preserve">Члан 9. мења се и гласи: "Средства буџета у износу од 4.615.329.200,00 динара и средства од прихода из додатних активности  </t>
  </si>
  <si>
    <t>индиректних корисника у износу од 29.232.800,00 распоређују се по корисницима и наменама и то:</t>
  </si>
  <si>
    <t>УКУПНО ЗА ПРОЈЕКАТ "СТИПЕНДИЈЕ ЗА СПОРТИСТЕ"</t>
  </si>
  <si>
    <t>Број:400-30/2018-I</t>
  </si>
  <si>
    <t>Дана:10. децембра 2018.године</t>
  </si>
  <si>
    <t>Скупштина општине Инђија на седници одржаној 10.децембра 2018. године донела је</t>
  </si>
  <si>
    <t>Милан Предојевић,с.р.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</si>
</sst>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D_i_n_._-;\-* #,##0.00\ _D_i_n_._-;_-* &quot;-&quot;??\ _D_i_n_._-;_-@_-"/>
    <numFmt numFmtId="164" formatCode="#,##0.000"/>
  </numFmts>
  <fonts count="67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  <charset val="238"/>
    </font>
    <font>
      <b/>
      <sz val="9"/>
      <name val="Arial"/>
      <family val="2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color rgb="FF9C65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10"/>
      <color rgb="FFFF0000"/>
      <name val="Arial"/>
      <family val="2"/>
    </font>
    <font>
      <sz val="9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rgb="FFFF0000"/>
      <name val="Arial"/>
      <family val="2"/>
    </font>
    <font>
      <sz val="8"/>
      <color rgb="FFFF0000"/>
      <name val="Arial"/>
      <family val="2"/>
      <charset val="238"/>
    </font>
    <font>
      <b/>
      <sz val="11"/>
      <color rgb="FFFF0000"/>
      <name val="Arial"/>
      <family val="2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Arial"/>
      <family val="2"/>
    </font>
    <font>
      <b/>
      <i/>
      <sz val="8"/>
      <color rgb="FFFF0000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i/>
      <sz val="10"/>
      <name val="Arial"/>
      <family val="2"/>
    </font>
    <font>
      <b/>
      <sz val="10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1"/>
      <name val="Arial"/>
      <family val="2"/>
      <charset val="238"/>
    </font>
    <font>
      <b/>
      <sz val="11"/>
      <name val="Calibri"/>
      <family val="2"/>
      <scheme val="minor"/>
    </font>
    <font>
      <b/>
      <sz val="8"/>
      <color theme="5" tint="-0.499984740745262"/>
      <name val="Arial"/>
      <family val="2"/>
    </font>
    <font>
      <b/>
      <sz val="8"/>
      <name val="Calibri"/>
      <family val="2"/>
      <scheme val="minor"/>
    </font>
    <font>
      <b/>
      <sz val="11"/>
      <name val="Arial"/>
      <family val="2"/>
    </font>
    <font>
      <b/>
      <i/>
      <sz val="9"/>
      <name val="Arial"/>
      <family val="2"/>
    </font>
    <font>
      <b/>
      <i/>
      <sz val="9"/>
      <color rgb="FF000000"/>
      <name val="Arial"/>
      <family val="2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9" fillId="2" borderId="0" applyNumberFormat="0" applyBorder="0" applyAlignment="0" applyProtection="0"/>
    <xf numFmtId="0" fontId="10" fillId="4" borderId="0" applyNumberFormat="0" applyBorder="0" applyAlignment="0" applyProtection="0"/>
    <xf numFmtId="0" fontId="13" fillId="5" borderId="0" applyNumberFormat="0" applyBorder="0" applyAlignment="0" applyProtection="0"/>
    <xf numFmtId="43" fontId="16" fillId="0" borderId="0" applyFont="0" applyFill="0" applyBorder="0" applyAlignment="0" applyProtection="0"/>
    <xf numFmtId="0" fontId="17" fillId="0" borderId="0"/>
  </cellStyleXfs>
  <cellXfs count="146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2" fillId="0" borderId="4" xfId="0" applyFont="1" applyFill="1" applyBorder="1" applyAlignment="1" applyProtection="1">
      <alignment horizontal="left" vertical="center" wrapText="1"/>
    </xf>
    <xf numFmtId="0" fontId="25" fillId="0" borderId="0" xfId="0" applyFont="1"/>
    <xf numFmtId="3" fontId="12" fillId="0" borderId="4" xfId="4" applyNumberFormat="1" applyFont="1" applyBorder="1" applyAlignment="1">
      <alignment horizontal="right" vertical="center"/>
    </xf>
    <xf numFmtId="3" fontId="12" fillId="0" borderId="4" xfId="4" applyNumberFormat="1" applyFont="1" applyFill="1" applyBorder="1" applyAlignment="1" applyProtection="1">
      <alignment horizontal="right" vertical="center"/>
    </xf>
    <xf numFmtId="3" fontId="12" fillId="0" borderId="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left" vertical="center" wrapText="1"/>
    </xf>
    <xf numFmtId="49" fontId="12" fillId="0" borderId="4" xfId="0" applyNumberFormat="1" applyFont="1" applyBorder="1" applyAlignment="1" applyProtection="1">
      <alignment horizontal="left" vertical="center"/>
    </xf>
    <xf numFmtId="0" fontId="12" fillId="0" borderId="4" xfId="0" applyFont="1" applyBorder="1" applyAlignment="1" applyProtection="1">
      <alignment horizontal="left" vertical="center" wrapText="1"/>
    </xf>
    <xf numFmtId="3" fontId="12" fillId="0" borderId="4" xfId="4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4" fontId="12" fillId="0" borderId="4" xfId="4" applyNumberFormat="1" applyFont="1" applyFill="1" applyBorder="1" applyAlignment="1">
      <alignment horizontal="right" vertical="center"/>
    </xf>
    <xf numFmtId="0" fontId="24" fillId="0" borderId="0" xfId="0" applyFont="1"/>
    <xf numFmtId="0" fontId="21" fillId="0" borderId="0" xfId="0" applyFont="1" applyFill="1"/>
    <xf numFmtId="0" fontId="31" fillId="0" borderId="0" xfId="0" applyFont="1"/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12" fillId="0" borderId="4" xfId="3" applyFont="1" applyFill="1" applyBorder="1" applyAlignment="1">
      <alignment horizontal="left" vertical="center" wrapText="1"/>
    </xf>
    <xf numFmtId="0" fontId="12" fillId="0" borderId="4" xfId="0" applyFont="1" applyFill="1" applyBorder="1" applyAlignment="1" applyProtection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 wrapText="1"/>
    </xf>
    <xf numFmtId="0" fontId="12" fillId="0" borderId="0" xfId="0" applyFont="1" applyFill="1"/>
    <xf numFmtId="4" fontId="15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vertical="center"/>
    </xf>
    <xf numFmtId="4" fontId="22" fillId="0" borderId="0" xfId="0" applyNumberFormat="1" applyFont="1" applyFill="1" applyAlignment="1">
      <alignment vertical="center"/>
    </xf>
    <xf numFmtId="4" fontId="21" fillId="0" borderId="0" xfId="0" applyNumberFormat="1" applyFont="1" applyFill="1" applyAlignment="1">
      <alignment vertical="center"/>
    </xf>
    <xf numFmtId="4" fontId="24" fillId="0" borderId="0" xfId="0" applyNumberFormat="1" applyFont="1" applyAlignment="1">
      <alignment vertical="center"/>
    </xf>
    <xf numFmtId="4" fontId="18" fillId="0" borderId="0" xfId="0" applyNumberFormat="1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4" fontId="19" fillId="0" borderId="0" xfId="0" applyNumberFormat="1" applyFont="1" applyAlignment="1">
      <alignment vertical="center"/>
    </xf>
    <xf numFmtId="4" fontId="31" fillId="0" borderId="0" xfId="0" applyNumberFormat="1" applyFont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" fontId="19" fillId="0" borderId="0" xfId="0" applyNumberFormat="1" applyFont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4" fontId="7" fillId="0" borderId="0" xfId="0" applyNumberFormat="1" applyFont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49" fontId="15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4" fontId="27" fillId="0" borderId="0" xfId="0" applyNumberFormat="1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4" fontId="27" fillId="0" borderId="0" xfId="2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left" vertical="center"/>
    </xf>
    <xf numFmtId="4" fontId="5" fillId="0" borderId="3" xfId="0" applyNumberFormat="1" applyFont="1" applyFill="1" applyBorder="1" applyAlignment="1">
      <alignment vertical="center"/>
    </xf>
    <xf numFmtId="0" fontId="25" fillId="0" borderId="0" xfId="0" applyFont="1" applyAlignment="1">
      <alignment vertical="center"/>
    </xf>
    <xf numFmtId="49" fontId="6" fillId="0" borderId="2" xfId="5" applyNumberFormat="1" applyFont="1" applyBorder="1" applyAlignment="1">
      <alignment horizontal="center" vertical="center" wrapText="1"/>
    </xf>
    <xf numFmtId="0" fontId="11" fillId="6" borderId="4" xfId="5" applyFont="1" applyFill="1" applyBorder="1" applyAlignment="1">
      <alignment horizontal="left" vertical="center" wrapText="1"/>
    </xf>
    <xf numFmtId="49" fontId="11" fillId="8" borderId="4" xfId="0" applyNumberFormat="1" applyFont="1" applyFill="1" applyBorder="1" applyAlignment="1" applyProtection="1">
      <alignment horizontal="left" vertical="center"/>
    </xf>
    <xf numFmtId="0" fontId="11" fillId="8" borderId="4" xfId="0" applyFont="1" applyFill="1" applyBorder="1" applyAlignment="1" applyProtection="1">
      <alignment horizontal="left" vertical="center" wrapText="1"/>
    </xf>
    <xf numFmtId="3" fontId="11" fillId="8" borderId="4" xfId="4" applyNumberFormat="1" applyFont="1" applyFill="1" applyBorder="1" applyAlignment="1">
      <alignment horizontal="right" vertical="center"/>
    </xf>
    <xf numFmtId="0" fontId="11" fillId="8" borderId="4" xfId="0" applyFont="1" applyFill="1" applyBorder="1" applyAlignment="1">
      <alignment horizontal="left" vertical="center" wrapText="1"/>
    </xf>
    <xf numFmtId="0" fontId="11" fillId="8" borderId="0" xfId="0" applyFont="1" applyFill="1" applyAlignment="1">
      <alignment vertical="center" wrapText="1"/>
    </xf>
    <xf numFmtId="3" fontId="11" fillId="8" borderId="4" xfId="4" applyNumberFormat="1" applyFont="1" applyFill="1" applyBorder="1" applyAlignment="1" applyProtection="1">
      <alignment horizontal="right" vertical="center"/>
    </xf>
    <xf numFmtId="0" fontId="11" fillId="8" borderId="4" xfId="0" applyFont="1" applyFill="1" applyBorder="1" applyAlignment="1">
      <alignment horizontal="left" vertical="center"/>
    </xf>
    <xf numFmtId="3" fontId="11" fillId="6" borderId="4" xfId="4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/>
    </xf>
    <xf numFmtId="0" fontId="2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/>
    </xf>
    <xf numFmtId="0" fontId="2" fillId="10" borderId="1" xfId="0" applyFont="1" applyFill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10" borderId="1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10" borderId="4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27" fillId="0" borderId="12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19" fillId="0" borderId="15" xfId="0" applyNumberFormat="1" applyFont="1" applyFill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19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left" vertical="center"/>
    </xf>
    <xf numFmtId="0" fontId="3" fillId="8" borderId="9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4" fontId="2" fillId="8" borderId="3" xfId="0" applyNumberFormat="1" applyFont="1" applyFill="1" applyBorder="1" applyAlignment="1">
      <alignment vertical="center"/>
    </xf>
    <xf numFmtId="4" fontId="2" fillId="8" borderId="8" xfId="0" applyNumberFormat="1" applyFont="1" applyFill="1" applyBorder="1" applyAlignment="1">
      <alignment vertical="center"/>
    </xf>
    <xf numFmtId="4" fontId="1" fillId="8" borderId="2" xfId="0" applyNumberFormat="1" applyFont="1" applyFill="1" applyBorder="1" applyAlignment="1">
      <alignment vertical="center"/>
    </xf>
    <xf numFmtId="0" fontId="3" fillId="10" borderId="5" xfId="0" applyFont="1" applyFill="1" applyBorder="1" applyAlignment="1">
      <alignment horizontal="left" vertical="center"/>
    </xf>
    <xf numFmtId="0" fontId="3" fillId="7" borderId="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4" fontId="1" fillId="3" borderId="0" xfId="0" applyNumberFormat="1" applyFont="1" applyFill="1" applyBorder="1" applyAlignment="1">
      <alignment vertical="center"/>
    </xf>
    <xf numFmtId="0" fontId="3" fillId="7" borderId="5" xfId="0" applyFont="1" applyFill="1" applyBorder="1" applyAlignment="1">
      <alignment horizontal="left" vertical="center"/>
    </xf>
    <xf numFmtId="0" fontId="28" fillId="3" borderId="0" xfId="0" applyFont="1" applyFill="1" applyBorder="1" applyAlignment="1">
      <alignment horizontal="left" vertical="center"/>
    </xf>
    <xf numFmtId="49" fontId="2" fillId="3" borderId="15" xfId="0" applyNumberFormat="1" applyFont="1" applyFill="1" applyBorder="1" applyAlignment="1">
      <alignment horizontal="center" vertical="center"/>
    </xf>
    <xf numFmtId="4" fontId="2" fillId="3" borderId="0" xfId="0" applyNumberFormat="1" applyFont="1" applyFill="1" applyBorder="1" applyAlignment="1">
      <alignment vertical="center"/>
    </xf>
    <xf numFmtId="4" fontId="5" fillId="0" borderId="4" xfId="2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10" borderId="4" xfId="0" applyFont="1" applyFill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center"/>
    </xf>
    <xf numFmtId="0" fontId="3" fillId="11" borderId="7" xfId="3" applyFont="1" applyFill="1" applyBorder="1" applyAlignment="1">
      <alignment horizontal="left" vertical="center" wrapText="1"/>
    </xf>
    <xf numFmtId="4" fontId="2" fillId="11" borderId="1" xfId="0" applyNumberFormat="1" applyFont="1" applyFill="1" applyBorder="1" applyAlignment="1">
      <alignment vertical="center"/>
    </xf>
    <xf numFmtId="4" fontId="2" fillId="11" borderId="6" xfId="0" applyNumberFormat="1" applyFont="1" applyFill="1" applyBorder="1" applyAlignment="1">
      <alignment vertical="center"/>
    </xf>
    <xf numFmtId="4" fontId="2" fillId="11" borderId="3" xfId="0" applyNumberFormat="1" applyFont="1" applyFill="1" applyBorder="1" applyAlignment="1">
      <alignment vertical="center"/>
    </xf>
    <xf numFmtId="4" fontId="2" fillId="11" borderId="8" xfId="0" applyNumberFormat="1" applyFont="1" applyFill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4" fontId="2" fillId="10" borderId="4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3" fillId="11" borderId="5" xfId="0" applyFont="1" applyFill="1" applyBorder="1" applyAlignment="1">
      <alignment horizontal="left" vertical="center" wrapText="1"/>
    </xf>
    <xf numFmtId="0" fontId="3" fillId="11" borderId="7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4" fontId="8" fillId="10" borderId="4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vertical="center"/>
    </xf>
    <xf numFmtId="0" fontId="4" fillId="0" borderId="4" xfId="2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" fontId="2" fillId="0" borderId="4" xfId="2" applyNumberFormat="1" applyFont="1" applyFill="1" applyBorder="1" applyAlignment="1">
      <alignment vertical="center"/>
    </xf>
    <xf numFmtId="4" fontId="2" fillId="10" borderId="4" xfId="2" applyNumberFormat="1" applyFont="1" applyFill="1" applyBorder="1" applyAlignment="1">
      <alignment vertical="center"/>
    </xf>
    <xf numFmtId="4" fontId="1" fillId="8" borderId="3" xfId="0" applyNumberFormat="1" applyFont="1" applyFill="1" applyBorder="1" applyAlignment="1">
      <alignment vertical="center"/>
    </xf>
    <xf numFmtId="4" fontId="2" fillId="8" borderId="10" xfId="0" applyNumberFormat="1" applyFont="1" applyFill="1" applyBorder="1" applyAlignment="1">
      <alignment vertical="center"/>
    </xf>
    <xf numFmtId="4" fontId="2" fillId="0" borderId="6" xfId="0" applyNumberFormat="1" applyFont="1" applyFill="1" applyBorder="1" applyAlignment="1">
      <alignment vertical="center"/>
    </xf>
    <xf numFmtId="4" fontId="5" fillId="3" borderId="4" xfId="0" applyNumberFormat="1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vertical="center"/>
    </xf>
    <xf numFmtId="4" fontId="2" fillId="8" borderId="2" xfId="0" applyNumberFormat="1" applyFont="1" applyFill="1" applyBorder="1" applyAlignment="1">
      <alignment vertical="center"/>
    </xf>
    <xf numFmtId="4" fontId="1" fillId="0" borderId="4" xfId="0" applyNumberFormat="1" applyFont="1" applyFill="1" applyBorder="1" applyAlignment="1">
      <alignment vertical="center"/>
    </xf>
    <xf numFmtId="4" fontId="2" fillId="0" borderId="4" xfId="0" applyNumberFormat="1" applyFont="1" applyFill="1" applyBorder="1" applyAlignment="1">
      <alignment vertical="center"/>
    </xf>
    <xf numFmtId="4" fontId="1" fillId="11" borderId="1" xfId="0" applyNumberFormat="1" applyFont="1" applyFill="1" applyBorder="1" applyAlignment="1">
      <alignment vertical="center"/>
    </xf>
    <xf numFmtId="4" fontId="27" fillId="11" borderId="3" xfId="0" applyNumberFormat="1" applyFont="1" applyFill="1" applyBorder="1" applyAlignment="1">
      <alignment vertical="center"/>
    </xf>
    <xf numFmtId="4" fontId="27" fillId="3" borderId="0" xfId="0" applyNumberFormat="1" applyFont="1" applyFill="1" applyBorder="1" applyAlignment="1">
      <alignment vertical="center"/>
    </xf>
    <xf numFmtId="4" fontId="1" fillId="10" borderId="4" xfId="0" applyNumberFormat="1" applyFont="1" applyFill="1" applyBorder="1" applyAlignment="1">
      <alignment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49" fontId="15" fillId="3" borderId="0" xfId="0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left" vertical="center"/>
    </xf>
    <xf numFmtId="4" fontId="5" fillId="0" borderId="12" xfId="0" applyNumberFormat="1" applyFont="1" applyFill="1" applyBorder="1" applyAlignment="1">
      <alignment vertical="center"/>
    </xf>
    <xf numFmtId="4" fontId="2" fillId="3" borderId="12" xfId="0" applyNumberFormat="1" applyFont="1" applyFill="1" applyBorder="1" applyAlignment="1">
      <alignment vertical="center"/>
    </xf>
    <xf numFmtId="4" fontId="2" fillId="0" borderId="12" xfId="0" applyNumberFormat="1" applyFont="1" applyBorder="1" applyAlignment="1">
      <alignment vertical="center"/>
    </xf>
    <xf numFmtId="4" fontId="2" fillId="0" borderId="12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4" fontId="27" fillId="0" borderId="12" xfId="0" applyNumberFormat="1" applyFont="1" applyBorder="1" applyAlignment="1">
      <alignment vertical="center"/>
    </xf>
    <xf numFmtId="4" fontId="27" fillId="0" borderId="12" xfId="0" applyNumberFormat="1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49" fontId="6" fillId="0" borderId="0" xfId="5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4" fontId="2" fillId="10" borderId="1" xfId="0" applyNumberFormat="1" applyFont="1" applyFill="1" applyBorder="1" applyAlignment="1">
      <alignment vertical="center"/>
    </xf>
    <xf numFmtId="4" fontId="2" fillId="10" borderId="6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4" fontId="32" fillId="0" borderId="0" xfId="0" applyNumberFormat="1" applyFont="1" applyAlignment="1">
      <alignment vertical="center"/>
    </xf>
    <xf numFmtId="0" fontId="12" fillId="8" borderId="4" xfId="0" applyFont="1" applyFill="1" applyBorder="1" applyAlignment="1">
      <alignment horizontal="left" vertical="center"/>
    </xf>
    <xf numFmtId="49" fontId="12" fillId="8" borderId="4" xfId="0" applyNumberFormat="1" applyFont="1" applyFill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3" fillId="12" borderId="5" xfId="0" applyFont="1" applyFill="1" applyBorder="1" applyAlignment="1">
      <alignment horizontal="left" vertical="center"/>
    </xf>
    <xf numFmtId="4" fontId="2" fillId="12" borderId="1" xfId="0" applyNumberFormat="1" applyFont="1" applyFill="1" applyBorder="1" applyAlignment="1">
      <alignment vertical="center"/>
    </xf>
    <xf numFmtId="4" fontId="2" fillId="12" borderId="6" xfId="0" applyNumberFormat="1" applyFont="1" applyFill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4" fontId="19" fillId="3" borderId="0" xfId="0" applyNumberFormat="1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4" fontId="19" fillId="0" borderId="3" xfId="0" applyNumberFormat="1" applyFont="1" applyBorder="1" applyAlignment="1">
      <alignment vertical="center"/>
    </xf>
    <xf numFmtId="4" fontId="18" fillId="3" borderId="0" xfId="0" applyNumberFormat="1" applyFont="1" applyFill="1" applyBorder="1" applyAlignment="1">
      <alignment vertical="center"/>
    </xf>
    <xf numFmtId="4" fontId="19" fillId="0" borderId="0" xfId="0" applyNumberFormat="1" applyFont="1" applyFill="1" applyBorder="1" applyAlignment="1">
      <alignment vertical="center"/>
    </xf>
    <xf numFmtId="4" fontId="19" fillId="10" borderId="0" xfId="0" applyNumberFormat="1" applyFont="1" applyFill="1" applyBorder="1" applyAlignment="1">
      <alignment vertical="center"/>
    </xf>
    <xf numFmtId="4" fontId="19" fillId="0" borderId="0" xfId="2" applyNumberFormat="1" applyFont="1" applyFill="1" applyBorder="1" applyAlignment="1">
      <alignment vertical="center"/>
    </xf>
    <xf numFmtId="4" fontId="18" fillId="0" borderId="2" xfId="0" applyNumberFormat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4" fontId="19" fillId="0" borderId="1" xfId="0" applyNumberFormat="1" applyFont="1" applyFill="1" applyBorder="1" applyAlignment="1">
      <alignment vertical="center"/>
    </xf>
    <xf numFmtId="4" fontId="27" fillId="11" borderId="3" xfId="2" applyNumberFormat="1" applyFont="1" applyFill="1" applyBorder="1" applyAlignment="1">
      <alignment vertical="center"/>
    </xf>
    <xf numFmtId="4" fontId="27" fillId="0" borderId="1" xfId="0" applyNumberFormat="1" applyFont="1" applyBorder="1" applyAlignment="1">
      <alignment vertical="center"/>
    </xf>
    <xf numFmtId="4" fontId="27" fillId="0" borderId="1" xfId="0" applyNumberFormat="1" applyFont="1" applyFill="1" applyBorder="1" applyAlignment="1">
      <alignment vertical="center"/>
    </xf>
    <xf numFmtId="4" fontId="27" fillId="0" borderId="1" xfId="2" applyNumberFormat="1" applyFont="1" applyFill="1" applyBorder="1" applyAlignment="1">
      <alignment vertical="center"/>
    </xf>
    <xf numFmtId="4" fontId="27" fillId="3" borderId="0" xfId="2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4" fontId="1" fillId="0" borderId="4" xfId="2" applyNumberFormat="1" applyFont="1" applyFill="1" applyBorder="1" applyAlignment="1">
      <alignment vertical="center"/>
    </xf>
    <xf numFmtId="4" fontId="1" fillId="0" borderId="14" xfId="0" applyNumberFormat="1" applyFont="1" applyBorder="1" applyAlignment="1">
      <alignment vertical="center"/>
    </xf>
    <xf numFmtId="4" fontId="8" fillId="10" borderId="1" xfId="0" applyNumberFormat="1" applyFont="1" applyFill="1" applyBorder="1" applyAlignment="1">
      <alignment vertical="center"/>
    </xf>
    <xf numFmtId="4" fontId="27" fillId="11" borderId="8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center" vertical="center"/>
    </xf>
    <xf numFmtId="4" fontId="19" fillId="0" borderId="2" xfId="0" applyNumberFormat="1" applyFont="1" applyFill="1" applyBorder="1" applyAlignment="1">
      <alignment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15" fillId="0" borderId="15" xfId="0" applyNumberFormat="1" applyFont="1" applyBorder="1" applyAlignment="1">
      <alignment horizontal="center" vertical="center"/>
    </xf>
    <xf numFmtId="49" fontId="15" fillId="0" borderId="15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5" fillId="0" borderId="14" xfId="0" applyNumberFormat="1" applyFont="1" applyBorder="1" applyAlignment="1">
      <alignment horizontal="center" vertical="center"/>
    </xf>
    <xf numFmtId="49" fontId="15" fillId="0" borderId="13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49" fontId="15" fillId="3" borderId="15" xfId="0" applyNumberFormat="1" applyFont="1" applyFill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49" fontId="1" fillId="10" borderId="1" xfId="0" applyNumberFormat="1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18" fillId="0" borderId="0" xfId="0" applyFont="1"/>
    <xf numFmtId="49" fontId="12" fillId="0" borderId="4" xfId="0" applyNumberFormat="1" applyFont="1" applyBorder="1" applyAlignment="1">
      <alignment horizontal="left" vertical="center"/>
    </xf>
    <xf numFmtId="0" fontId="12" fillId="3" borderId="7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 applyProtection="1">
      <alignment horizontal="left" vertical="center" wrapText="1"/>
    </xf>
    <xf numFmtId="0" fontId="12" fillId="3" borderId="7" xfId="1" applyFont="1" applyFill="1" applyBorder="1" applyAlignment="1">
      <alignment horizontal="left" vertical="center" wrapText="1"/>
    </xf>
    <xf numFmtId="4" fontId="12" fillId="3" borderId="4" xfId="1" applyNumberFormat="1" applyFont="1" applyFill="1" applyBorder="1" applyAlignment="1">
      <alignment vertical="center"/>
    </xf>
    <xf numFmtId="3" fontId="12" fillId="3" borderId="4" xfId="4" applyNumberFormat="1" applyFont="1" applyFill="1" applyBorder="1" applyAlignment="1" applyProtection="1">
      <alignment horizontal="right" vertical="center"/>
    </xf>
    <xf numFmtId="0" fontId="3" fillId="8" borderId="5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3" fillId="8" borderId="6" xfId="0" applyFont="1" applyFill="1" applyBorder="1" applyAlignment="1">
      <alignment vertical="center"/>
    </xf>
    <xf numFmtId="0" fontId="12" fillId="3" borderId="7" xfId="3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49" fontId="27" fillId="0" borderId="15" xfId="0" applyNumberFormat="1" applyFont="1" applyFill="1" applyBorder="1" applyAlignment="1">
      <alignment horizontal="center" vertical="center"/>
    </xf>
    <xf numFmtId="4" fontId="18" fillId="0" borderId="10" xfId="0" applyNumberFormat="1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4" fontId="18" fillId="0" borderId="12" xfId="0" applyNumberFormat="1" applyFont="1" applyBorder="1" applyAlignment="1">
      <alignment vertical="center"/>
    </xf>
    <xf numFmtId="49" fontId="27" fillId="0" borderId="14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vertical="center"/>
    </xf>
    <xf numFmtId="0" fontId="4" fillId="11" borderId="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4" fontId="2" fillId="11" borderId="3" xfId="2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4" fontId="1" fillId="0" borderId="12" xfId="0" applyNumberFormat="1" applyFont="1" applyFill="1" applyBorder="1" applyAlignment="1">
      <alignment vertical="center"/>
    </xf>
    <xf numFmtId="4" fontId="2" fillId="11" borderId="1" xfId="2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vertical="center"/>
    </xf>
    <xf numFmtId="0" fontId="15" fillId="0" borderId="0" xfId="0" applyFont="1"/>
    <xf numFmtId="4" fontId="18" fillId="0" borderId="0" xfId="0" applyNumberFormat="1" applyFont="1"/>
    <xf numFmtId="0" fontId="24" fillId="0" borderId="0" xfId="0" applyFont="1" applyAlignment="1">
      <alignment horizontal="center"/>
    </xf>
    <xf numFmtId="0" fontId="21" fillId="3" borderId="0" xfId="0" applyFont="1" applyFill="1" applyBorder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3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30" fillId="0" borderId="0" xfId="0" applyFont="1"/>
    <xf numFmtId="0" fontId="28" fillId="0" borderId="5" xfId="0" applyFont="1" applyFill="1" applyBorder="1" applyAlignment="1">
      <alignment horizontal="left" vertical="center"/>
    </xf>
    <xf numFmtId="4" fontId="27" fillId="0" borderId="6" xfId="0" applyNumberFormat="1" applyFont="1" applyFill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4" fontId="27" fillId="3" borderId="12" xfId="0" applyNumberFormat="1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4" fontId="36" fillId="0" borderId="0" xfId="0" applyNumberFormat="1" applyFont="1" applyAlignment="1">
      <alignment vertical="center"/>
    </xf>
    <xf numFmtId="4" fontId="27" fillId="0" borderId="0" xfId="0" applyNumberFormat="1" applyFont="1" applyAlignment="1">
      <alignment vertical="center"/>
    </xf>
    <xf numFmtId="49" fontId="15" fillId="0" borderId="3" xfId="0" applyNumberFormat="1" applyFont="1" applyBorder="1" applyAlignment="1">
      <alignment horizontal="center" vertical="center"/>
    </xf>
    <xf numFmtId="4" fontId="30" fillId="0" borderId="0" xfId="0" applyNumberFormat="1" applyFont="1" applyAlignment="1">
      <alignment vertical="center"/>
    </xf>
    <xf numFmtId="4" fontId="37" fillId="0" borderId="0" xfId="0" applyNumberFormat="1" applyFont="1" applyAlignment="1">
      <alignment vertical="center"/>
    </xf>
    <xf numFmtId="0" fontId="37" fillId="0" borderId="0" xfId="0" applyFont="1"/>
    <xf numFmtId="4" fontId="24" fillId="0" borderId="0" xfId="0" applyNumberFormat="1" applyFont="1"/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4" fontId="27" fillId="0" borderId="0" xfId="0" applyNumberFormat="1" applyFont="1" applyFill="1" applyAlignment="1">
      <alignment vertical="center"/>
    </xf>
    <xf numFmtId="4" fontId="24" fillId="0" borderId="0" xfId="0" applyNumberFormat="1" applyFont="1" applyFill="1" applyAlignment="1">
      <alignment vertical="center"/>
    </xf>
    <xf numFmtId="0" fontId="24" fillId="0" borderId="0" xfId="0" applyFont="1" applyFill="1"/>
    <xf numFmtId="0" fontId="18" fillId="0" borderId="0" xfId="0" applyFont="1" applyFill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0" fontId="24" fillId="0" borderId="0" xfId="0" applyFont="1" applyBorder="1"/>
    <xf numFmtId="164" fontId="27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29" fillId="0" borderId="0" xfId="0" applyFont="1" applyFill="1" applyBorder="1" applyAlignment="1">
      <alignment horizontal="left" vertical="center"/>
    </xf>
    <xf numFmtId="4" fontId="22" fillId="0" borderId="0" xfId="0" applyNumberFormat="1" applyFont="1" applyAlignment="1">
      <alignment vertical="center"/>
    </xf>
    <xf numFmtId="4" fontId="21" fillId="0" borderId="0" xfId="0" applyNumberFormat="1" applyFont="1" applyAlignment="1">
      <alignment vertical="center"/>
    </xf>
    <xf numFmtId="4" fontId="22" fillId="3" borderId="0" xfId="0" applyNumberFormat="1" applyFont="1" applyFill="1" applyBorder="1" applyAlignment="1">
      <alignment vertical="center"/>
    </xf>
    <xf numFmtId="0" fontId="36" fillId="3" borderId="0" xfId="0" applyFont="1" applyFill="1" applyBorder="1" applyAlignment="1">
      <alignment horizontal="center" vertical="center" textRotation="90" wrapText="1"/>
    </xf>
    <xf numFmtId="0" fontId="34" fillId="0" borderId="0" xfId="0" applyFont="1"/>
    <xf numFmtId="4" fontId="25" fillId="3" borderId="0" xfId="0" applyNumberFormat="1" applyFont="1" applyFill="1" applyBorder="1" applyAlignment="1">
      <alignment vertical="center"/>
    </xf>
    <xf numFmtId="4" fontId="33" fillId="3" borderId="0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49" fontId="25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18" fillId="0" borderId="8" xfId="0" applyFont="1" applyBorder="1" applyAlignment="1">
      <alignment horizontal="center" vertical="center"/>
    </xf>
    <xf numFmtId="4" fontId="15" fillId="3" borderId="0" xfId="0" applyNumberFormat="1" applyFont="1" applyFill="1" applyAlignment="1">
      <alignment vertical="center"/>
    </xf>
    <xf numFmtId="0" fontId="27" fillId="0" borderId="15" xfId="0" applyFont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4" fontId="15" fillId="0" borderId="0" xfId="0" applyNumberFormat="1" applyFont="1" applyFill="1" applyAlignment="1">
      <alignment vertical="center"/>
    </xf>
    <xf numFmtId="0" fontId="27" fillId="0" borderId="15" xfId="0" applyFont="1" applyBorder="1" applyAlignment="1">
      <alignment horizontal="left" vertical="center"/>
    </xf>
    <xf numFmtId="4" fontId="24" fillId="3" borderId="0" xfId="0" applyNumberFormat="1" applyFont="1" applyFill="1" applyAlignment="1">
      <alignment vertical="center"/>
    </xf>
    <xf numFmtId="0" fontId="24" fillId="3" borderId="0" xfId="0" applyFont="1" applyFill="1"/>
    <xf numFmtId="0" fontId="27" fillId="0" borderId="14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left" vertical="center"/>
    </xf>
    <xf numFmtId="4" fontId="15" fillId="0" borderId="11" xfId="0" applyNumberFormat="1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27" fillId="3" borderId="12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4" fontId="19" fillId="0" borderId="12" xfId="0" applyNumberFormat="1" applyFont="1" applyBorder="1" applyAlignment="1">
      <alignment vertical="center"/>
    </xf>
    <xf numFmtId="0" fontId="27" fillId="3" borderId="15" xfId="0" applyFont="1" applyFill="1" applyBorder="1" applyAlignment="1">
      <alignment horizontal="center" vertical="center"/>
    </xf>
    <xf numFmtId="0" fontId="15" fillId="0" borderId="12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49" fontId="27" fillId="3" borderId="15" xfId="0" applyNumberFormat="1" applyFont="1" applyFill="1" applyBorder="1" applyAlignment="1">
      <alignment horizontal="center" vertical="center"/>
    </xf>
    <xf numFmtId="4" fontId="19" fillId="3" borderId="12" xfId="0" applyNumberFormat="1" applyFont="1" applyFill="1" applyBorder="1" applyAlignment="1">
      <alignment vertical="center"/>
    </xf>
    <xf numFmtId="4" fontId="18" fillId="0" borderId="12" xfId="0" applyNumberFormat="1" applyFont="1" applyFill="1" applyBorder="1" applyAlignment="1">
      <alignment vertical="center"/>
    </xf>
    <xf numFmtId="0" fontId="24" fillId="0" borderId="12" xfId="0" applyFont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4" fontId="19" fillId="0" borderId="12" xfId="0" applyNumberFormat="1" applyFont="1" applyFill="1" applyBorder="1" applyAlignment="1">
      <alignment vertical="center"/>
    </xf>
    <xf numFmtId="0" fontId="15" fillId="0" borderId="15" xfId="0" applyFont="1" applyFill="1" applyBorder="1" applyAlignment="1">
      <alignment vertical="center"/>
    </xf>
    <xf numFmtId="0" fontId="28" fillId="0" borderId="3" xfId="0" applyFont="1" applyBorder="1" applyAlignment="1">
      <alignment horizontal="left" vertical="center"/>
    </xf>
    <xf numFmtId="4" fontId="19" fillId="0" borderId="8" xfId="0" applyNumberFormat="1" applyFont="1" applyBorder="1" applyAlignment="1">
      <alignment vertical="center"/>
    </xf>
    <xf numFmtId="4" fontId="19" fillId="0" borderId="6" xfId="0" applyNumberFormat="1" applyFont="1" applyFill="1" applyBorder="1" applyAlignment="1">
      <alignment vertical="center"/>
    </xf>
    <xf numFmtId="0" fontId="27" fillId="0" borderId="6" xfId="0" applyFont="1" applyBorder="1" applyAlignment="1">
      <alignment horizontal="center" vertical="center"/>
    </xf>
    <xf numFmtId="0" fontId="15" fillId="3" borderId="15" xfId="0" applyFont="1" applyFill="1" applyBorder="1" applyAlignment="1">
      <alignment vertical="center"/>
    </xf>
    <xf numFmtId="4" fontId="18" fillId="3" borderId="12" xfId="0" applyNumberFormat="1" applyFont="1" applyFill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9" fontId="27" fillId="0" borderId="12" xfId="0" applyNumberFormat="1" applyFont="1" applyBorder="1" applyAlignment="1">
      <alignment horizontal="center" vertical="center"/>
    </xf>
    <xf numFmtId="49" fontId="18" fillId="0" borderId="15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49" fontId="15" fillId="0" borderId="11" xfId="0" applyNumberFormat="1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/>
    </xf>
    <xf numFmtId="0" fontId="21" fillId="0" borderId="10" xfId="3" applyFont="1" applyFill="1" applyBorder="1" applyAlignment="1">
      <alignment horizontal="center" vertical="center"/>
    </xf>
    <xf numFmtId="0" fontId="21" fillId="0" borderId="8" xfId="3" applyFont="1" applyFill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49" fontId="27" fillId="0" borderId="13" xfId="0" applyNumberFormat="1" applyFont="1" applyBorder="1" applyAlignment="1">
      <alignment horizontal="center" vertical="center"/>
    </xf>
    <xf numFmtId="0" fontId="21" fillId="0" borderId="12" xfId="3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8" fillId="10" borderId="0" xfId="0" applyFont="1" applyFill="1" applyBorder="1" applyAlignment="1">
      <alignment horizontal="left" vertical="center"/>
    </xf>
    <xf numFmtId="4" fontId="19" fillId="10" borderId="12" xfId="0" applyNumberFormat="1" applyFont="1" applyFill="1" applyBorder="1" applyAlignment="1">
      <alignment vertical="center"/>
    </xf>
    <xf numFmtId="4" fontId="19" fillId="0" borderId="6" xfId="0" applyNumberFormat="1" applyFont="1" applyBorder="1" applyAlignment="1">
      <alignment vertical="center"/>
    </xf>
    <xf numFmtId="0" fontId="15" fillId="3" borderId="12" xfId="0" applyFont="1" applyFill="1" applyBorder="1" applyAlignment="1">
      <alignment vertical="center"/>
    </xf>
    <xf numFmtId="4" fontId="19" fillId="0" borderId="12" xfId="2" applyNumberFormat="1" applyFont="1" applyFill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28" fillId="0" borderId="2" xfId="0" applyFont="1" applyFill="1" applyBorder="1" applyAlignment="1">
      <alignment horizontal="left" vertical="center"/>
    </xf>
    <xf numFmtId="4" fontId="19" fillId="0" borderId="0" xfId="1" applyNumberFormat="1" applyFont="1" applyFill="1" applyBorder="1" applyAlignment="1">
      <alignment vertical="center"/>
    </xf>
    <xf numFmtId="0" fontId="28" fillId="0" borderId="2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4" fontId="19" fillId="0" borderId="12" xfId="1" applyNumberFormat="1" applyFont="1" applyFill="1" applyBorder="1" applyAlignment="1">
      <alignment vertical="center"/>
    </xf>
    <xf numFmtId="4" fontId="38" fillId="0" borderId="0" xfId="0" applyNumberFormat="1" applyFont="1" applyAlignment="1">
      <alignment vertical="center"/>
    </xf>
    <xf numFmtId="0" fontId="19" fillId="0" borderId="8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18" fillId="0" borderId="13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49" fontId="24" fillId="0" borderId="15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7" fillId="0" borderId="15" xfId="0" applyFont="1" applyBorder="1" applyAlignment="1">
      <alignment vertical="center"/>
    </xf>
    <xf numFmtId="0" fontId="15" fillId="0" borderId="14" xfId="0" applyFont="1" applyFill="1" applyBorder="1" applyAlignment="1">
      <alignment vertical="center"/>
    </xf>
    <xf numFmtId="0" fontId="27" fillId="0" borderId="1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49" fontId="27" fillId="0" borderId="14" xfId="0" applyNumberFormat="1" applyFont="1" applyFill="1" applyBorder="1" applyAlignment="1">
      <alignment horizontal="center" vertical="center"/>
    </xf>
    <xf numFmtId="4" fontId="27" fillId="0" borderId="2" xfId="0" applyNumberFormat="1" applyFont="1" applyFill="1" applyBorder="1" applyAlignment="1">
      <alignment vertical="center"/>
    </xf>
    <xf numFmtId="49" fontId="30" fillId="0" borderId="0" xfId="2" applyNumberFormat="1" applyFont="1" applyFill="1" applyBorder="1" applyAlignment="1">
      <alignment horizontal="center" vertical="center"/>
    </xf>
    <xf numFmtId="0" fontId="28" fillId="0" borderId="0" xfId="2" applyFont="1" applyFill="1" applyBorder="1" applyAlignment="1">
      <alignment horizontal="left" vertical="center"/>
    </xf>
    <xf numFmtId="4" fontId="15" fillId="0" borderId="12" xfId="2" applyNumberFormat="1" applyFont="1" applyFill="1" applyBorder="1" applyAlignment="1">
      <alignment vertical="center"/>
    </xf>
    <xf numFmtId="0" fontId="15" fillId="0" borderId="11" xfId="0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0" fontId="18" fillId="0" borderId="15" xfId="0" applyFont="1" applyBorder="1" applyAlignment="1">
      <alignment vertical="center"/>
    </xf>
    <xf numFmtId="4" fontId="34" fillId="0" borderId="0" xfId="0" applyNumberFormat="1" applyFont="1" applyAlignment="1">
      <alignment vertical="center"/>
    </xf>
    <xf numFmtId="0" fontId="30" fillId="0" borderId="0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0" fontId="15" fillId="3" borderId="0" xfId="0" applyFont="1" applyFill="1" applyBorder="1"/>
    <xf numFmtId="0" fontId="15" fillId="0" borderId="0" xfId="0" applyFont="1" applyFill="1"/>
    <xf numFmtId="4" fontId="15" fillId="0" borderId="0" xfId="0" applyNumberFormat="1" applyFont="1" applyFill="1"/>
    <xf numFmtId="4" fontId="34" fillId="0" borderId="0" xfId="0" applyNumberFormat="1" applyFont="1"/>
    <xf numFmtId="4" fontId="31" fillId="0" borderId="0" xfId="0" applyNumberFormat="1" applyFont="1"/>
    <xf numFmtId="4" fontId="15" fillId="0" borderId="0" xfId="0" applyNumberFormat="1" applyFont="1"/>
    <xf numFmtId="0" fontId="1" fillId="0" borderId="4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4" fontId="2" fillId="7" borderId="1" xfId="0" applyNumberFormat="1" applyFont="1" applyFill="1" applyBorder="1" applyAlignment="1">
      <alignment vertical="center"/>
    </xf>
    <xf numFmtId="4" fontId="2" fillId="7" borderId="6" xfId="0" applyNumberFormat="1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" xfId="0" applyNumberFormat="1" applyFont="1" applyBorder="1" applyAlignment="1">
      <alignment horizontal="center" vertical="center"/>
    </xf>
    <xf numFmtId="4" fontId="5" fillId="0" borderId="8" xfId="0" applyNumberFormat="1" applyFont="1" applyFill="1" applyBorder="1" applyAlignment="1">
      <alignment vertical="center"/>
    </xf>
    <xf numFmtId="0" fontId="26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14" fillId="11" borderId="3" xfId="0" applyNumberFormat="1" applyFont="1" applyFill="1" applyBorder="1" applyAlignment="1">
      <alignment vertical="center"/>
    </xf>
    <xf numFmtId="0" fontId="14" fillId="11" borderId="3" xfId="0" applyFont="1" applyFill="1" applyBorder="1" applyAlignment="1">
      <alignment vertical="center"/>
    </xf>
    <xf numFmtId="0" fontId="14" fillId="11" borderId="8" xfId="0" applyFont="1" applyFill="1" applyBorder="1" applyAlignment="1">
      <alignment vertical="center"/>
    </xf>
    <xf numFmtId="0" fontId="11" fillId="10" borderId="4" xfId="0" applyFont="1" applyFill="1" applyBorder="1" applyAlignment="1">
      <alignment vertical="center"/>
    </xf>
    <xf numFmtId="0" fontId="5" fillId="10" borderId="4" xfId="0" applyFont="1" applyFill="1" applyBorder="1" applyAlignment="1">
      <alignment vertical="center"/>
    </xf>
    <xf numFmtId="4" fontId="1" fillId="7" borderId="1" xfId="0" applyNumberFormat="1" applyFont="1" applyFill="1" applyBorder="1" applyAlignment="1">
      <alignment vertical="center"/>
    </xf>
    <xf numFmtId="4" fontId="1" fillId="7" borderId="6" xfId="0" applyNumberFormat="1" applyFont="1" applyFill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4" fillId="0" borderId="7" xfId="1" applyFont="1" applyFill="1" applyBorder="1" applyAlignment="1">
      <alignment horizontal="left" vertical="center" wrapText="1"/>
    </xf>
    <xf numFmtId="4" fontId="1" fillId="3" borderId="4" xfId="1" applyNumberFormat="1" applyFont="1" applyFill="1" applyBorder="1" applyAlignment="1">
      <alignment vertical="center"/>
    </xf>
    <xf numFmtId="4" fontId="1" fillId="0" borderId="4" xfId="1" applyNumberFormat="1" applyFont="1" applyFill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4" fontId="2" fillId="10" borderId="4" xfId="1" applyNumberFormat="1" applyFont="1" applyFill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4" fontId="2" fillId="0" borderId="2" xfId="2" applyNumberFormat="1" applyFont="1" applyFill="1" applyBorder="1" applyAlignment="1">
      <alignment vertical="center"/>
    </xf>
    <xf numFmtId="4" fontId="2" fillId="0" borderId="2" xfId="1" applyNumberFormat="1" applyFont="1" applyFill="1" applyBorder="1" applyAlignment="1">
      <alignment vertical="center"/>
    </xf>
    <xf numFmtId="4" fontId="2" fillId="0" borderId="1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4" fontId="2" fillId="0" borderId="0" xfId="2" applyNumberFormat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vertical="center"/>
    </xf>
    <xf numFmtId="49" fontId="8" fillId="0" borderId="15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8" borderId="7" xfId="0" applyFont="1" applyFill="1" applyBorder="1" applyAlignment="1">
      <alignment horizontal="left" vertical="center"/>
    </xf>
    <xf numFmtId="4" fontId="5" fillId="8" borderId="3" xfId="2" applyNumberFormat="1" applyFont="1" applyFill="1" applyBorder="1" applyAlignment="1">
      <alignment vertical="center"/>
    </xf>
    <xf numFmtId="4" fontId="5" fillId="8" borderId="3" xfId="1" applyNumberFormat="1" applyFont="1" applyFill="1" applyBorder="1" applyAlignment="1">
      <alignment vertical="center"/>
    </xf>
    <xf numFmtId="4" fontId="5" fillId="8" borderId="8" xfId="0" applyNumberFormat="1" applyFont="1" applyFill="1" applyBorder="1" applyAlignment="1">
      <alignment vertical="center"/>
    </xf>
    <xf numFmtId="0" fontId="11" fillId="8" borderId="9" xfId="0" applyFont="1" applyFill="1" applyBorder="1" applyAlignment="1">
      <alignment horizontal="left" vertical="center"/>
    </xf>
    <xf numFmtId="4" fontId="5" fillId="8" borderId="2" xfId="2" applyNumberFormat="1" applyFont="1" applyFill="1" applyBorder="1" applyAlignment="1">
      <alignment vertical="center"/>
    </xf>
    <xf numFmtId="4" fontId="5" fillId="8" borderId="2" xfId="1" applyNumberFormat="1" applyFont="1" applyFill="1" applyBorder="1" applyAlignment="1">
      <alignment vertical="center"/>
    </xf>
    <xf numFmtId="4" fontId="5" fillId="8" borderId="10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4" fontId="5" fillId="3" borderId="0" xfId="2" applyNumberFormat="1" applyFont="1" applyFill="1" applyBorder="1" applyAlignment="1">
      <alignment vertical="center"/>
    </xf>
    <xf numFmtId="4" fontId="5" fillId="3" borderId="0" xfId="1" applyNumberFormat="1" applyFont="1" applyFill="1" applyBorder="1" applyAlignment="1">
      <alignment vertical="center"/>
    </xf>
    <xf numFmtId="4" fontId="5" fillId="3" borderId="12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" fontId="5" fillId="0" borderId="4" xfId="1" applyNumberFormat="1" applyFont="1" applyFill="1" applyBorder="1" applyAlignment="1">
      <alignment vertical="center"/>
    </xf>
    <xf numFmtId="49" fontId="5" fillId="0" borderId="1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1" fillId="10" borderId="4" xfId="0" applyFont="1" applyFill="1" applyBorder="1" applyAlignment="1">
      <alignment horizontal="left" vertical="center"/>
    </xf>
    <xf numFmtId="4" fontId="8" fillId="10" borderId="4" xfId="2" applyNumberFormat="1" applyFont="1" applyFill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3" fillId="11" borderId="7" xfId="3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4" fontId="2" fillId="0" borderId="3" xfId="0" applyNumberFormat="1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4" fontId="2" fillId="0" borderId="2" xfId="0" applyNumberFormat="1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9" borderId="6" xfId="0" applyFont="1" applyFill="1" applyBorder="1" applyAlignment="1">
      <alignment vertical="center"/>
    </xf>
    <xf numFmtId="4" fontId="1" fillId="0" borderId="4" xfId="5" applyNumberFormat="1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3" fillId="10" borderId="14" xfId="0" applyFont="1" applyFill="1" applyBorder="1" applyAlignment="1">
      <alignment horizontal="left" vertical="center"/>
    </xf>
    <xf numFmtId="4" fontId="1" fillId="11" borderId="3" xfId="2" applyNumberFormat="1" applyFont="1" applyFill="1" applyBorder="1" applyAlignment="1">
      <alignment vertical="center"/>
    </xf>
    <xf numFmtId="4" fontId="1" fillId="11" borderId="3" xfId="0" applyNumberFormat="1" applyFont="1" applyFill="1" applyBorder="1" applyAlignment="1">
      <alignment vertical="center"/>
    </xf>
    <xf numFmtId="4" fontId="1" fillId="11" borderId="8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0" fontId="3" fillId="11" borderId="5" xfId="0" applyFont="1" applyFill="1" applyBorder="1" applyAlignment="1">
      <alignment vertical="center"/>
    </xf>
    <xf numFmtId="4" fontId="1" fillId="10" borderId="4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49" fontId="1" fillId="0" borderId="8" xfId="0" applyNumberFormat="1" applyFont="1" applyBorder="1" applyAlignment="1">
      <alignment horizontal="center" vertical="center"/>
    </xf>
    <xf numFmtId="4" fontId="2" fillId="0" borderId="1" xfId="2" applyNumberFormat="1" applyFont="1" applyFill="1" applyBorder="1" applyAlignment="1">
      <alignment vertical="center"/>
    </xf>
    <xf numFmtId="4" fontId="1" fillId="0" borderId="14" xfId="2" applyNumberFormat="1" applyFont="1" applyFill="1" applyBorder="1" applyAlignment="1">
      <alignment vertical="center"/>
    </xf>
    <xf numFmtId="0" fontId="1" fillId="11" borderId="1" xfId="0" applyFont="1" applyFill="1" applyBorder="1" applyAlignment="1">
      <alignment vertical="center"/>
    </xf>
    <xf numFmtId="4" fontId="1" fillId="0" borderId="8" xfId="0" applyNumberFormat="1" applyFont="1" applyFill="1" applyBorder="1" applyAlignment="1">
      <alignment vertical="center"/>
    </xf>
    <xf numFmtId="0" fontId="4" fillId="0" borderId="4" xfId="2" applyFont="1" applyFill="1" applyBorder="1" applyAlignment="1">
      <alignment horizontal="left" vertical="center" wrapText="1"/>
    </xf>
    <xf numFmtId="0" fontId="12" fillId="0" borderId="5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4" fontId="12" fillId="0" borderId="0" xfId="4" applyNumberFormat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/>
    <xf numFmtId="0" fontId="39" fillId="0" borderId="0" xfId="0" applyFont="1"/>
    <xf numFmtId="3" fontId="12" fillId="0" borderId="0" xfId="0" applyNumberFormat="1" applyFont="1"/>
    <xf numFmtId="49" fontId="40" fillId="0" borderId="4" xfId="5" applyNumberFormat="1" applyFont="1" applyFill="1" applyBorder="1" applyAlignment="1">
      <alignment horizontal="center" vertical="center" wrapText="1"/>
    </xf>
    <xf numFmtId="0" fontId="40" fillId="0" borderId="4" xfId="4" applyNumberFormat="1" applyFont="1" applyFill="1" applyBorder="1" applyAlignment="1">
      <alignment horizontal="center" vertical="center" wrapText="1"/>
    </xf>
    <xf numFmtId="0" fontId="40" fillId="0" borderId="4" xfId="5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horizontal="center"/>
    </xf>
    <xf numFmtId="0" fontId="40" fillId="0" borderId="0" xfId="0" applyFont="1"/>
    <xf numFmtId="0" fontId="12" fillId="0" borderId="5" xfId="0" applyFont="1" applyFill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Fill="1" applyBorder="1" applyAlignment="1">
      <alignment horizontal="left" vertical="center" wrapText="1"/>
    </xf>
    <xf numFmtId="4" fontId="12" fillId="0" borderId="4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4" fontId="12" fillId="0" borderId="5" xfId="0" applyNumberFormat="1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7" xfId="3" applyFont="1" applyFill="1" applyBorder="1" applyAlignment="1">
      <alignment horizontal="left" vertical="center" wrapText="1"/>
    </xf>
    <xf numFmtId="0" fontId="12" fillId="8" borderId="4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3" fontId="11" fillId="0" borderId="0" xfId="4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 wrapText="1"/>
    </xf>
    <xf numFmtId="49" fontId="41" fillId="9" borderId="5" xfId="0" applyNumberFormat="1" applyFont="1" applyFill="1" applyBorder="1" applyAlignment="1">
      <alignment horizontal="center" vertical="center" textRotation="90"/>
    </xf>
    <xf numFmtId="49" fontId="41" fillId="9" borderId="1" xfId="0" applyNumberFormat="1" applyFont="1" applyFill="1" applyBorder="1" applyAlignment="1">
      <alignment horizontal="center" vertical="center" textRotation="90"/>
    </xf>
    <xf numFmtId="49" fontId="41" fillId="9" borderId="1" xfId="0" applyNumberFormat="1" applyFont="1" applyFill="1" applyBorder="1" applyAlignment="1">
      <alignment horizontal="center" vertical="center" textRotation="90" wrapText="1"/>
    </xf>
    <xf numFmtId="49" fontId="41" fillId="9" borderId="1" xfId="0" applyNumberFormat="1" applyFont="1" applyFill="1" applyBorder="1" applyAlignment="1">
      <alignment horizontal="left" vertical="center" textRotation="90" wrapText="1"/>
    </xf>
    <xf numFmtId="49" fontId="42" fillId="9" borderId="4" xfId="0" applyNumberFormat="1" applyFont="1" applyFill="1" applyBorder="1" applyAlignment="1">
      <alignment horizontal="center" vertical="center" textRotation="90" wrapText="1"/>
    </xf>
    <xf numFmtId="49" fontId="41" fillId="9" borderId="1" xfId="0" applyNumberFormat="1" applyFont="1" applyFill="1" applyBorder="1" applyAlignment="1">
      <alignment vertical="center"/>
    </xf>
    <xf numFmtId="0" fontId="2" fillId="9" borderId="4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vertical="center"/>
    </xf>
    <xf numFmtId="0" fontId="42" fillId="0" borderId="4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1" fillId="10" borderId="5" xfId="0" applyFont="1" applyFill="1" applyBorder="1" applyAlignment="1">
      <alignment vertical="center"/>
    </xf>
    <xf numFmtId="0" fontId="2" fillId="10" borderId="1" xfId="0" applyFont="1" applyFill="1" applyBorder="1" applyAlignment="1">
      <alignment vertical="center"/>
    </xf>
    <xf numFmtId="49" fontId="2" fillId="10" borderId="1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4" xfId="0" applyFont="1" applyBorder="1" applyAlignment="1">
      <alignment vertical="center"/>
    </xf>
    <xf numFmtId="0" fontId="2" fillId="10" borderId="5" xfId="0" applyFont="1" applyFill="1" applyBorder="1" applyAlignment="1">
      <alignment horizontal="left" vertical="center"/>
    </xf>
    <xf numFmtId="0" fontId="3" fillId="10" borderId="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10" borderId="5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4" fontId="1" fillId="3" borderId="4" xfId="0" applyNumberFormat="1" applyFont="1" applyFill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4" fontId="1" fillId="0" borderId="14" xfId="0" applyNumberFormat="1" applyFont="1" applyFill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horizontal="left" vertical="center"/>
    </xf>
    <xf numFmtId="4" fontId="1" fillId="0" borderId="15" xfId="0" applyNumberFormat="1" applyFont="1" applyFill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0" fontId="1" fillId="10" borderId="9" xfId="0" applyFont="1" applyFill="1" applyBorder="1" applyAlignment="1">
      <alignment horizontal="left" vertical="center"/>
    </xf>
    <xf numFmtId="0" fontId="2" fillId="10" borderId="2" xfId="0" applyFont="1" applyFill="1" applyBorder="1" applyAlignment="1">
      <alignment horizontal="left" vertical="center"/>
    </xf>
    <xf numFmtId="0" fontId="2" fillId="10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left" vertical="center"/>
    </xf>
    <xf numFmtId="49" fontId="1" fillId="10" borderId="2" xfId="0" applyNumberFormat="1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4" fontId="1" fillId="10" borderId="1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4" fontId="1" fillId="0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2" fillId="9" borderId="5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center" vertical="center"/>
    </xf>
    <xf numFmtId="49" fontId="2" fillId="9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center"/>
    </xf>
    <xf numFmtId="4" fontId="2" fillId="9" borderId="1" xfId="0" applyNumberFormat="1" applyFont="1" applyFill="1" applyBorder="1" applyAlignment="1">
      <alignment vertical="center"/>
    </xf>
    <xf numFmtId="4" fontId="2" fillId="9" borderId="6" xfId="0" applyNumberFormat="1" applyFont="1" applyFill="1" applyBorder="1" applyAlignment="1">
      <alignment vertical="center"/>
    </xf>
    <xf numFmtId="0" fontId="3" fillId="9" borderId="5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center" vertical="center"/>
    </xf>
    <xf numFmtId="49" fontId="3" fillId="9" borderId="1" xfId="0" applyNumberFormat="1" applyFont="1" applyFill="1" applyBorder="1" applyAlignment="1">
      <alignment horizontal="center" vertical="center"/>
    </xf>
    <xf numFmtId="49" fontId="42" fillId="9" borderId="1" xfId="0" applyNumberFormat="1" applyFont="1" applyFill="1" applyBorder="1" applyAlignment="1">
      <alignment horizontal="center" vertical="center" textRotation="90" wrapText="1"/>
    </xf>
    <xf numFmtId="49" fontId="42" fillId="9" borderId="4" xfId="0" applyNumberFormat="1" applyFont="1" applyFill="1" applyBorder="1" applyAlignment="1">
      <alignment vertical="center"/>
    </xf>
    <xf numFmtId="4" fontId="42" fillId="9" borderId="4" xfId="0" applyNumberFormat="1" applyFont="1" applyFill="1" applyBorder="1" applyAlignment="1">
      <alignment horizontal="center" vertical="center" textRotation="90"/>
    </xf>
    <xf numFmtId="4" fontId="42" fillId="9" borderId="4" xfId="0" applyNumberFormat="1" applyFont="1" applyFill="1" applyBorder="1" applyAlignment="1">
      <alignment horizontal="center" vertical="center" textRotation="90" wrapText="1"/>
    </xf>
    <xf numFmtId="0" fontId="42" fillId="9" borderId="4" xfId="0" applyFont="1" applyFill="1" applyBorder="1" applyAlignment="1">
      <alignment horizontal="center" vertical="center" textRotation="90"/>
    </xf>
    <xf numFmtId="0" fontId="42" fillId="0" borderId="5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49" fontId="42" fillId="0" borderId="1" xfId="0" applyNumberFormat="1" applyFont="1" applyBorder="1" applyAlignment="1">
      <alignment horizontal="center" vertical="center"/>
    </xf>
    <xf numFmtId="49" fontId="42" fillId="0" borderId="1" xfId="0" applyNumberFormat="1" applyFont="1" applyFill="1" applyBorder="1" applyAlignment="1">
      <alignment horizontal="center" vertical="center"/>
    </xf>
    <xf numFmtId="49" fontId="41" fillId="0" borderId="4" xfId="0" applyNumberFormat="1" applyFont="1" applyFill="1" applyBorder="1" applyAlignment="1">
      <alignment horizontal="center" vertical="center"/>
    </xf>
    <xf numFmtId="49" fontId="42" fillId="0" borderId="4" xfId="0" applyNumberFormat="1" applyFont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vertical="center"/>
    </xf>
    <xf numFmtId="0" fontId="43" fillId="9" borderId="5" xfId="0" applyFont="1" applyFill="1" applyBorder="1" applyAlignment="1">
      <alignment horizontal="left" vertical="center"/>
    </xf>
    <xf numFmtId="0" fontId="43" fillId="9" borderId="1" xfId="0" applyFont="1" applyFill="1" applyBorder="1" applyAlignment="1">
      <alignment horizontal="left" vertical="center"/>
    </xf>
    <xf numFmtId="0" fontId="43" fillId="9" borderId="1" xfId="0" applyFont="1" applyFill="1" applyBorder="1" applyAlignment="1">
      <alignment horizontal="center" vertical="center"/>
    </xf>
    <xf numFmtId="49" fontId="43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vertical="center"/>
    </xf>
    <xf numFmtId="0" fontId="26" fillId="0" borderId="0" xfId="0" applyFont="1"/>
    <xf numFmtId="0" fontId="7" fillId="0" borderId="0" xfId="0" applyFont="1"/>
    <xf numFmtId="0" fontId="4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5" fillId="0" borderId="0" xfId="0" applyFont="1"/>
    <xf numFmtId="0" fontId="4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" fontId="12" fillId="0" borderId="0" xfId="0" applyNumberFormat="1" applyFont="1" applyFill="1" applyBorder="1"/>
    <xf numFmtId="4" fontId="5" fillId="0" borderId="0" xfId="0" applyNumberFormat="1" applyFont="1" applyFill="1" applyBorder="1"/>
    <xf numFmtId="4" fontId="26" fillId="0" borderId="0" xfId="0" applyNumberFormat="1" applyFont="1"/>
    <xf numFmtId="4" fontId="6" fillId="0" borderId="0" xfId="0" applyNumberFormat="1" applyFont="1" applyAlignment="1">
      <alignment vertical="center"/>
    </xf>
    <xf numFmtId="0" fontId="6" fillId="0" borderId="0" xfId="0" applyFo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4" fontId="2" fillId="9" borderId="4" xfId="0" applyNumberFormat="1" applyFont="1" applyFill="1" applyBorder="1" applyAlignment="1">
      <alignment horizontal="center" vertical="center" wrapText="1"/>
    </xf>
    <xf numFmtId="0" fontId="14" fillId="0" borderId="0" xfId="0" applyFont="1"/>
    <xf numFmtId="49" fontId="46" fillId="0" borderId="13" xfId="0" applyNumberFormat="1" applyFont="1" applyFill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6" fillId="9" borderId="5" xfId="0" applyFont="1" applyFill="1" applyBorder="1" applyAlignment="1">
      <alignment vertical="center"/>
    </xf>
    <xf numFmtId="0" fontId="6" fillId="9" borderId="1" xfId="0" applyFont="1" applyFill="1" applyBorder="1" applyAlignment="1">
      <alignment vertical="center"/>
    </xf>
    <xf numFmtId="0" fontId="6" fillId="9" borderId="1" xfId="0" applyFont="1" applyFill="1" applyBorder="1" applyAlignment="1">
      <alignment horizontal="center" vertical="center"/>
    </xf>
    <xf numFmtId="49" fontId="6" fillId="9" borderId="1" xfId="0" applyNumberFormat="1" applyFont="1" applyFill="1" applyBorder="1" applyAlignment="1">
      <alignment horizontal="center" vertical="center"/>
    </xf>
    <xf numFmtId="0" fontId="8" fillId="9" borderId="1" xfId="0" applyFont="1" applyFill="1" applyBorder="1" applyAlignment="1">
      <alignment vertical="center"/>
    </xf>
    <xf numFmtId="0" fontId="11" fillId="9" borderId="1" xfId="0" applyFont="1" applyFill="1" applyBorder="1" applyAlignment="1">
      <alignment vertical="center"/>
    </xf>
    <xf numFmtId="49" fontId="5" fillId="9" borderId="1" xfId="0" applyNumberFormat="1" applyFont="1" applyFill="1" applyBorder="1" applyAlignment="1">
      <alignment vertical="center"/>
    </xf>
    <xf numFmtId="0" fontId="5" fillId="9" borderId="6" xfId="0" applyFont="1" applyFill="1" applyBorder="1" applyAlignment="1">
      <alignment vertical="center"/>
    </xf>
    <xf numFmtId="49" fontId="5" fillId="10" borderId="14" xfId="0" applyNumberFormat="1" applyFont="1" applyFill="1" applyBorder="1" applyAlignment="1">
      <alignment vertical="center"/>
    </xf>
    <xf numFmtId="4" fontId="8" fillId="10" borderId="14" xfId="0" applyNumberFormat="1" applyFont="1" applyFill="1" applyBorder="1" applyAlignment="1">
      <alignment vertical="center"/>
    </xf>
    <xf numFmtId="4" fontId="14" fillId="0" borderId="0" xfId="0" applyNumberFormat="1" applyFont="1" applyAlignment="1">
      <alignment vertical="center"/>
    </xf>
    <xf numFmtId="49" fontId="5" fillId="0" borderId="4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left" vertical="center"/>
    </xf>
    <xf numFmtId="0" fontId="39" fillId="0" borderId="4" xfId="0" applyFont="1" applyFill="1" applyBorder="1" applyAlignment="1">
      <alignment horizontal="left" vertical="center"/>
    </xf>
    <xf numFmtId="0" fontId="39" fillId="0" borderId="5" xfId="0" applyFont="1" applyFill="1" applyBorder="1" applyAlignment="1">
      <alignment vertical="center"/>
    </xf>
    <xf numFmtId="0" fontId="39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vertical="center"/>
    </xf>
    <xf numFmtId="49" fontId="39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49" fontId="5" fillId="10" borderId="4" xfId="0" applyNumberFormat="1" applyFont="1" applyFill="1" applyBorder="1" applyAlignment="1">
      <alignment horizontal="left" vertical="center"/>
    </xf>
    <xf numFmtId="0" fontId="6" fillId="0" borderId="5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9" fontId="2" fillId="10" borderId="4" xfId="0" applyNumberFormat="1" applyFont="1" applyFill="1" applyBorder="1" applyAlignment="1">
      <alignment horizontal="left" vertical="center"/>
    </xf>
    <xf numFmtId="49" fontId="5" fillId="0" borderId="13" xfId="0" applyNumberFormat="1" applyFont="1" applyFill="1" applyBorder="1" applyAlignment="1">
      <alignment horizontal="left" vertical="center"/>
    </xf>
    <xf numFmtId="4" fontId="5" fillId="0" borderId="13" xfId="0" applyNumberFormat="1" applyFont="1" applyBorder="1" applyAlignment="1">
      <alignment vertical="center"/>
    </xf>
    <xf numFmtId="49" fontId="5" fillId="9" borderId="1" xfId="0" applyNumberFormat="1" applyFont="1" applyFill="1" applyBorder="1" applyAlignment="1">
      <alignment horizontal="left" vertical="center"/>
    </xf>
    <xf numFmtId="49" fontId="2" fillId="10" borderId="14" xfId="0" applyNumberFormat="1" applyFont="1" applyFill="1" applyBorder="1" applyAlignment="1">
      <alignment horizontal="left" vertical="center"/>
    </xf>
    <xf numFmtId="4" fontId="2" fillId="10" borderId="14" xfId="0" applyNumberFormat="1" applyFont="1" applyFill="1" applyBorder="1" applyAlignment="1">
      <alignment vertical="center"/>
    </xf>
    <xf numFmtId="0" fontId="49" fillId="10" borderId="5" xfId="0" applyFont="1" applyFill="1" applyBorder="1" applyAlignment="1">
      <alignment horizontal="left" vertical="center"/>
    </xf>
    <xf numFmtId="0" fontId="49" fillId="10" borderId="1" xfId="0" applyFont="1" applyFill="1" applyBorder="1" applyAlignment="1">
      <alignment horizontal="left" vertical="center" wrapText="1"/>
    </xf>
    <xf numFmtId="0" fontId="49" fillId="10" borderId="1" xfId="0" applyFont="1" applyFill="1" applyBorder="1" applyAlignment="1">
      <alignment horizontal="center" vertical="center" wrapText="1"/>
    </xf>
    <xf numFmtId="49" fontId="49" fillId="10" borderId="1" xfId="0" applyNumberFormat="1" applyFont="1" applyFill="1" applyBorder="1" applyAlignment="1">
      <alignment horizontal="center" vertical="center" wrapText="1"/>
    </xf>
    <xf numFmtId="0" fontId="42" fillId="10" borderId="1" xfId="0" applyFont="1" applyFill="1" applyBorder="1" applyAlignment="1">
      <alignment horizontal="left" vertical="center" wrapText="1"/>
    </xf>
    <xf numFmtId="0" fontId="41" fillId="10" borderId="6" xfId="0" applyFont="1" applyFill="1" applyBorder="1" applyAlignment="1">
      <alignment horizontal="left" vertical="center" wrapText="1"/>
    </xf>
    <xf numFmtId="49" fontId="2" fillId="10" borderId="13" xfId="0" applyNumberFormat="1" applyFont="1" applyFill="1" applyBorder="1" applyAlignment="1">
      <alignment horizontal="left" vertical="center"/>
    </xf>
    <xf numFmtId="4" fontId="2" fillId="10" borderId="13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left" vertical="center" wrapText="1"/>
    </xf>
    <xf numFmtId="49" fontId="2" fillId="10" borderId="4" xfId="0" applyNumberFormat="1" applyFont="1" applyFill="1" applyBorder="1" applyAlignment="1">
      <alignment vertical="center"/>
    </xf>
    <xf numFmtId="0" fontId="44" fillId="0" borderId="0" xfId="0" applyFont="1" applyFill="1" applyBorder="1" applyAlignment="1">
      <alignment horizontal="center" wrapText="1"/>
    </xf>
    <xf numFmtId="0" fontId="44" fillId="3" borderId="0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4" fontId="42" fillId="9" borderId="1" xfId="0" applyNumberFormat="1" applyFont="1" applyFill="1" applyBorder="1" applyAlignment="1">
      <alignment horizontal="center" vertical="center" textRotation="90" wrapText="1"/>
    </xf>
    <xf numFmtId="0" fontId="42" fillId="9" borderId="4" xfId="0" applyFont="1" applyFill="1" applyBorder="1" applyAlignment="1">
      <alignment horizontal="center" vertical="center" textRotation="90" wrapText="1"/>
    </xf>
    <xf numFmtId="0" fontId="50" fillId="0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4" fontId="50" fillId="0" borderId="4" xfId="0" applyNumberFormat="1" applyFont="1" applyBorder="1" applyAlignment="1">
      <alignment horizontal="right" vertical="center"/>
    </xf>
    <xf numFmtId="0" fontId="50" fillId="0" borderId="7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4" fontId="43" fillId="10" borderId="6" xfId="0" applyNumberFormat="1" applyFont="1" applyFill="1" applyBorder="1" applyAlignment="1">
      <alignment vertical="center"/>
    </xf>
    <xf numFmtId="4" fontId="43" fillId="10" borderId="4" xfId="0" applyNumberFormat="1" applyFont="1" applyFill="1" applyBorder="1" applyAlignment="1">
      <alignment vertical="center"/>
    </xf>
    <xf numFmtId="0" fontId="42" fillId="0" borderId="6" xfId="0" applyFont="1" applyBorder="1" applyAlignment="1">
      <alignment horizontal="center" vertical="center"/>
    </xf>
    <xf numFmtId="4" fontId="50" fillId="0" borderId="4" xfId="0" applyNumberFormat="1" applyFont="1" applyBorder="1" applyAlignment="1">
      <alignment vertical="center"/>
    </xf>
    <xf numFmtId="4" fontId="50" fillId="0" borderId="4" xfId="0" applyNumberFormat="1" applyFont="1" applyFill="1" applyBorder="1" applyAlignment="1">
      <alignment vertical="center"/>
    </xf>
    <xf numFmtId="0" fontId="14" fillId="0" borderId="0" xfId="0" applyFont="1" applyFill="1"/>
    <xf numFmtId="0" fontId="2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3" fillId="0" borderId="0" xfId="0" applyFo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1" fillId="0" borderId="0" xfId="0" applyFont="1"/>
    <xf numFmtId="4" fontId="4" fillId="0" borderId="0" xfId="0" applyNumberFormat="1" applyFont="1"/>
    <xf numFmtId="4" fontId="5" fillId="0" borderId="0" xfId="0" applyNumberFormat="1" applyFont="1"/>
    <xf numFmtId="0" fontId="14" fillId="3" borderId="0" xfId="0" applyFont="1" applyFill="1" applyBorder="1"/>
    <xf numFmtId="0" fontId="7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4" fontId="5" fillId="0" borderId="0" xfId="0" applyNumberFormat="1" applyFont="1" applyAlignment="1"/>
    <xf numFmtId="0" fontId="4" fillId="0" borderId="0" xfId="0" applyFont="1"/>
    <xf numFmtId="0" fontId="4" fillId="0" borderId="0" xfId="0" applyFont="1" applyFill="1"/>
    <xf numFmtId="0" fontId="1" fillId="0" borderId="0" xfId="0" applyFont="1" applyFill="1"/>
    <xf numFmtId="4" fontId="50" fillId="0" borderId="0" xfId="0" applyNumberFormat="1" applyFont="1" applyAlignment="1">
      <alignment vertical="center"/>
    </xf>
    <xf numFmtId="0" fontId="50" fillId="0" borderId="0" xfId="0" applyFont="1"/>
    <xf numFmtId="49" fontId="50" fillId="0" borderId="0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41" fillId="9" borderId="4" xfId="0" applyNumberFormat="1" applyFont="1" applyFill="1" applyBorder="1" applyAlignment="1">
      <alignment horizontal="center" vertical="center" textRotation="90"/>
    </xf>
    <xf numFmtId="49" fontId="41" fillId="9" borderId="4" xfId="0" applyNumberFormat="1" applyFont="1" applyFill="1" applyBorder="1" applyAlignment="1">
      <alignment horizontal="center" vertical="center" textRotation="90" wrapText="1"/>
    </xf>
    <xf numFmtId="49" fontId="41" fillId="9" borderId="4" xfId="0" applyNumberFormat="1" applyFont="1" applyFill="1" applyBorder="1" applyAlignment="1">
      <alignment horizontal="left" vertical="center" textRotation="90" wrapText="1"/>
    </xf>
    <xf numFmtId="49" fontId="41" fillId="9" borderId="4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3" fillId="0" borderId="13" xfId="0" applyNumberFormat="1" applyFont="1" applyFill="1" applyBorder="1" applyAlignment="1">
      <alignment horizontal="center" vertical="center"/>
    </xf>
    <xf numFmtId="49" fontId="50" fillId="0" borderId="12" xfId="0" applyNumberFormat="1" applyFont="1" applyFill="1" applyBorder="1" applyAlignment="1">
      <alignment horizontal="center" vertical="center"/>
    </xf>
    <xf numFmtId="49" fontId="50" fillId="0" borderId="15" xfId="0" applyNumberFormat="1" applyFont="1" applyFill="1" applyBorder="1" applyAlignment="1">
      <alignment horizontal="center" vertical="center"/>
    </xf>
    <xf numFmtId="0" fontId="43" fillId="0" borderId="7" xfId="0" applyFont="1" applyBorder="1" applyAlignment="1">
      <alignment horizontal="left" vertical="center"/>
    </xf>
    <xf numFmtId="49" fontId="4" fillId="3" borderId="15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/>
    </xf>
    <xf numFmtId="4" fontId="2" fillId="12" borderId="1" xfId="0" applyNumberFormat="1" applyFont="1" applyFill="1" applyBorder="1" applyAlignment="1">
      <alignment horizontal="right" vertical="center"/>
    </xf>
    <xf numFmtId="4" fontId="2" fillId="12" borderId="6" xfId="0" applyNumberFormat="1" applyFont="1" applyFill="1" applyBorder="1" applyAlignment="1">
      <alignment horizontal="right" vertical="center"/>
    </xf>
    <xf numFmtId="4" fontId="2" fillId="3" borderId="0" xfId="0" applyNumberFormat="1" applyFont="1" applyFill="1" applyBorder="1" applyAlignment="1">
      <alignment horizontal="right" vertical="center"/>
    </xf>
    <xf numFmtId="4" fontId="2" fillId="3" borderId="12" xfId="0" applyNumberFormat="1" applyFont="1" applyFill="1" applyBorder="1" applyAlignment="1">
      <alignment horizontal="right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1" fillId="7" borderId="6" xfId="0" applyFont="1" applyFill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vertical="center"/>
    </xf>
    <xf numFmtId="4" fontId="2" fillId="3" borderId="8" xfId="0" applyNumberFormat="1" applyFont="1" applyFill="1" applyBorder="1" applyAlignment="1">
      <alignment vertical="center"/>
    </xf>
    <xf numFmtId="4" fontId="1" fillId="8" borderId="10" xfId="0" applyNumberFormat="1" applyFont="1" applyFill="1" applyBorder="1" applyAlignment="1">
      <alignment vertical="center"/>
    </xf>
    <xf numFmtId="4" fontId="1" fillId="3" borderId="12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10" borderId="7" xfId="0" applyFont="1" applyFill="1" applyBorder="1" applyAlignment="1">
      <alignment horizontal="left" vertical="center"/>
    </xf>
    <xf numFmtId="4" fontId="2" fillId="10" borderId="3" xfId="0" applyNumberFormat="1" applyFont="1" applyFill="1" applyBorder="1" applyAlignment="1">
      <alignment vertical="center"/>
    </xf>
    <xf numFmtId="4" fontId="2" fillId="10" borderId="8" xfId="0" applyNumberFormat="1" applyFont="1" applyFill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49" fontId="39" fillId="0" borderId="15" xfId="0" applyNumberFormat="1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4" fontId="5" fillId="0" borderId="0" xfId="0" applyNumberFormat="1" applyFont="1" applyBorder="1" applyAlignment="1">
      <alignment vertical="center"/>
    </xf>
    <xf numFmtId="4" fontId="5" fillId="0" borderId="12" xfId="0" applyNumberFormat="1" applyFont="1" applyBorder="1" applyAlignment="1">
      <alignment vertical="center"/>
    </xf>
    <xf numFmtId="4" fontId="44" fillId="0" borderId="0" xfId="0" applyNumberFormat="1" applyFont="1" applyAlignment="1">
      <alignment vertical="center"/>
    </xf>
    <xf numFmtId="0" fontId="44" fillId="0" borderId="0" xfId="0" applyFont="1"/>
    <xf numFmtId="0" fontId="5" fillId="3" borderId="15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horizontal="center" vertical="center"/>
    </xf>
    <xf numFmtId="0" fontId="11" fillId="12" borderId="5" xfId="0" applyFont="1" applyFill="1" applyBorder="1" applyAlignment="1">
      <alignment horizontal="left" vertical="center"/>
    </xf>
    <xf numFmtId="4" fontId="8" fillId="12" borderId="1" xfId="0" applyNumberFormat="1" applyFont="1" applyFill="1" applyBorder="1" applyAlignment="1">
      <alignment vertical="center"/>
    </xf>
    <xf numFmtId="4" fontId="8" fillId="12" borderId="6" xfId="0" applyNumberFormat="1" applyFont="1" applyFill="1" applyBorder="1" applyAlignment="1">
      <alignment vertical="center"/>
    </xf>
    <xf numFmtId="4" fontId="5" fillId="3" borderId="0" xfId="0" applyNumberFormat="1" applyFont="1" applyFill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4" fontId="8" fillId="3" borderId="0" xfId="0" applyNumberFormat="1" applyFont="1" applyFill="1" applyBorder="1" applyAlignment="1">
      <alignment vertical="center"/>
    </xf>
    <xf numFmtId="4" fontId="8" fillId="3" borderId="6" xfId="0" applyNumberFormat="1" applyFont="1" applyFill="1" applyBorder="1" applyAlignment="1">
      <alignment vertical="center"/>
    </xf>
    <xf numFmtId="4" fontId="5" fillId="3" borderId="0" xfId="0" applyNumberFormat="1" applyFont="1" applyFill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" fontId="8" fillId="8" borderId="3" xfId="0" applyNumberFormat="1" applyFont="1" applyFill="1" applyBorder="1" applyAlignment="1">
      <alignment vertical="center"/>
    </xf>
    <xf numFmtId="4" fontId="8" fillId="8" borderId="8" xfId="0" applyNumberFormat="1" applyFont="1" applyFill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39" fillId="0" borderId="0" xfId="0" applyNumberFormat="1" applyFont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4" fontId="44" fillId="3" borderId="0" xfId="0" applyNumberFormat="1" applyFont="1" applyFill="1" applyAlignment="1">
      <alignment vertical="center"/>
    </xf>
    <xf numFmtId="0" fontId="44" fillId="3" borderId="0" xfId="0" applyFont="1" applyFill="1"/>
    <xf numFmtId="0" fontId="11" fillId="7" borderId="5" xfId="0" applyFont="1" applyFill="1" applyBorder="1" applyAlignment="1">
      <alignment horizontal="left" vertical="center" wrapText="1"/>
    </xf>
    <xf numFmtId="4" fontId="5" fillId="7" borderId="1" xfId="0" applyNumberFormat="1" applyFont="1" applyFill="1" applyBorder="1" applyAlignment="1">
      <alignment vertical="center"/>
    </xf>
    <xf numFmtId="4" fontId="5" fillId="7" borderId="6" xfId="0" applyNumberFormat="1" applyFont="1" applyFill="1" applyBorder="1" applyAlignment="1">
      <alignment vertical="center"/>
    </xf>
    <xf numFmtId="4" fontId="44" fillId="3" borderId="0" xfId="0" applyNumberFormat="1" applyFont="1" applyFill="1" applyBorder="1" applyAlignment="1">
      <alignment vertical="center"/>
    </xf>
    <xf numFmtId="0" fontId="44" fillId="3" borderId="0" xfId="0" applyFont="1" applyFill="1" applyBorder="1"/>
    <xf numFmtId="0" fontId="8" fillId="0" borderId="15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1" fillId="10" borderId="5" xfId="0" applyFont="1" applyFill="1" applyBorder="1" applyAlignment="1">
      <alignment horizontal="left" vertical="center"/>
    </xf>
    <xf numFmtId="4" fontId="8" fillId="10" borderId="6" xfId="0" applyNumberFormat="1" applyFont="1" applyFill="1" applyBorder="1" applyAlignment="1">
      <alignment vertical="center"/>
    </xf>
    <xf numFmtId="0" fontId="11" fillId="0" borderId="5" xfId="0" applyFont="1" applyBorder="1" applyAlignment="1">
      <alignment horizontal="left" vertical="center"/>
    </xf>
    <xf numFmtId="4" fontId="5" fillId="0" borderId="1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4" fontId="8" fillId="0" borderId="0" xfId="0" applyNumberFormat="1" applyFont="1" applyBorder="1" applyAlignment="1">
      <alignment vertical="center"/>
    </xf>
    <xf numFmtId="4" fontId="8" fillId="0" borderId="12" xfId="0" applyNumberFormat="1" applyFont="1" applyBorder="1" applyAlignment="1">
      <alignment vertical="center"/>
    </xf>
    <xf numFmtId="4" fontId="8" fillId="3" borderId="3" xfId="0" applyNumberFormat="1" applyFont="1" applyFill="1" applyBorder="1" applyAlignment="1">
      <alignment vertical="center"/>
    </xf>
    <xf numFmtId="4" fontId="8" fillId="3" borderId="8" xfId="0" applyNumberFormat="1" applyFont="1" applyFill="1" applyBorder="1" applyAlignment="1">
      <alignment vertical="center"/>
    </xf>
    <xf numFmtId="4" fontId="5" fillId="0" borderId="4" xfId="5" applyNumberFormat="1" applyFont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/>
    </xf>
    <xf numFmtId="49" fontId="5" fillId="3" borderId="14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 vertical="center"/>
    </xf>
    <xf numFmtId="4" fontId="8" fillId="8" borderId="2" xfId="0" applyNumberFormat="1" applyFont="1" applyFill="1" applyBorder="1" applyAlignment="1">
      <alignment vertical="center"/>
    </xf>
    <xf numFmtId="4" fontId="8" fillId="8" borderId="10" xfId="0" applyNumberFormat="1" applyFont="1" applyFill="1" applyBorder="1" applyAlignment="1">
      <alignment vertical="center"/>
    </xf>
    <xf numFmtId="4" fontId="55" fillId="0" borderId="0" xfId="0" applyNumberFormat="1" applyFont="1" applyAlignment="1">
      <alignment vertical="center"/>
    </xf>
    <xf numFmtId="4" fontId="1" fillId="0" borderId="0" xfId="2" applyNumberFormat="1" applyFont="1" applyFill="1" applyBorder="1" applyAlignment="1">
      <alignment vertical="center"/>
    </xf>
    <xf numFmtId="4" fontId="1" fillId="3" borderId="0" xfId="0" applyNumberFormat="1" applyFont="1" applyFill="1" applyAlignment="1">
      <alignment vertical="center"/>
    </xf>
    <xf numFmtId="0" fontId="7" fillId="0" borderId="12" xfId="0" applyFont="1" applyBorder="1" applyAlignment="1">
      <alignment horizontal="center" vertical="center"/>
    </xf>
    <xf numFmtId="4" fontId="1" fillId="8" borderId="8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vertical="center"/>
    </xf>
    <xf numFmtId="4" fontId="7" fillId="3" borderId="0" xfId="0" applyNumberFormat="1" applyFont="1" applyFill="1" applyAlignment="1">
      <alignment vertical="center"/>
    </xf>
    <xf numFmtId="0" fontId="7" fillId="3" borderId="0" xfId="0" applyFont="1" applyFill="1"/>
    <xf numFmtId="4" fontId="1" fillId="0" borderId="6" xfId="0" applyNumberFormat="1" applyFont="1" applyFill="1" applyBorder="1" applyAlignment="1">
      <alignment vertical="center"/>
    </xf>
    <xf numFmtId="4" fontId="7" fillId="0" borderId="0" xfId="0" applyNumberFormat="1" applyFont="1" applyFill="1" applyAlignment="1">
      <alignment vertical="center"/>
    </xf>
    <xf numFmtId="0" fontId="7" fillId="0" borderId="0" xfId="0" applyFont="1" applyFill="1"/>
    <xf numFmtId="0" fontId="3" fillId="11" borderId="5" xfId="3" applyFont="1" applyFill="1" applyBorder="1" applyAlignment="1">
      <alignment horizontal="left" vertical="center" wrapText="1"/>
    </xf>
    <xf numFmtId="0" fontId="14" fillId="3" borderId="12" xfId="0" applyFont="1" applyFill="1" applyBorder="1" applyAlignment="1">
      <alignment vertical="center"/>
    </xf>
    <xf numFmtId="0" fontId="14" fillId="3" borderId="12" xfId="0" applyFont="1" applyFill="1" applyBorder="1" applyAlignment="1">
      <alignment horizontal="center" vertical="center"/>
    </xf>
    <xf numFmtId="4" fontId="5" fillId="12" borderId="1" xfId="0" applyNumberFormat="1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14" fillId="0" borderId="12" xfId="0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" fontId="8" fillId="11" borderId="1" xfId="0" applyNumberFormat="1" applyFont="1" applyFill="1" applyBorder="1" applyAlignment="1">
      <alignment vertical="center"/>
    </xf>
    <xf numFmtId="4" fontId="8" fillId="11" borderId="6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4" fontId="8" fillId="0" borderId="12" xfId="0" applyNumberFormat="1" applyFont="1" applyFill="1" applyBorder="1" applyAlignment="1">
      <alignment vertical="center"/>
    </xf>
    <xf numFmtId="4" fontId="1" fillId="12" borderId="1" xfId="0" applyNumberFormat="1" applyFont="1" applyFill="1" applyBorder="1" applyAlignment="1">
      <alignment vertical="center"/>
    </xf>
    <xf numFmtId="4" fontId="1" fillId="3" borderId="3" xfId="0" applyNumberFormat="1" applyFont="1" applyFill="1" applyBorder="1" applyAlignment="1">
      <alignment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4" fontId="1" fillId="0" borderId="8" xfId="0" applyNumberFormat="1" applyFont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8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" fillId="0" borderId="6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3" fillId="3" borderId="4" xfId="0" applyFont="1" applyFill="1" applyBorder="1" applyAlignment="1">
      <alignment horizontal="left" vertical="center"/>
    </xf>
    <xf numFmtId="4" fontId="2" fillId="3" borderId="4" xfId="0" applyNumberFormat="1" applyFont="1" applyFill="1" applyBorder="1" applyAlignment="1">
      <alignment vertical="center"/>
    </xf>
    <xf numFmtId="0" fontId="43" fillId="0" borderId="15" xfId="0" applyFont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50" fillId="0" borderId="12" xfId="0" applyFont="1" applyBorder="1" applyAlignment="1">
      <alignment horizontal="center" vertical="center"/>
    </xf>
    <xf numFmtId="0" fontId="50" fillId="0" borderId="15" xfId="0" applyFont="1" applyBorder="1" applyAlignment="1">
      <alignment vertical="center"/>
    </xf>
    <xf numFmtId="49" fontId="50" fillId="0" borderId="15" xfId="0" applyNumberFormat="1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left" vertical="center"/>
    </xf>
    <xf numFmtId="4" fontId="50" fillId="0" borderId="0" xfId="0" applyNumberFormat="1" applyFont="1" applyBorder="1" applyAlignment="1">
      <alignment vertical="center"/>
    </xf>
    <xf numFmtId="4" fontId="50" fillId="0" borderId="12" xfId="0" applyNumberFormat="1" applyFont="1" applyBorder="1" applyAlignment="1">
      <alignment vertical="center"/>
    </xf>
    <xf numFmtId="0" fontId="1" fillId="3" borderId="1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49" fontId="2" fillId="3" borderId="14" xfId="0" applyNumberFormat="1" applyFont="1" applyFill="1" applyBorder="1" applyAlignment="1">
      <alignment horizontal="center" vertical="center"/>
    </xf>
    <xf numFmtId="49" fontId="1" fillId="3" borderId="14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49" fontId="2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4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/>
    <xf numFmtId="4" fontId="2" fillId="0" borderId="0" xfId="0" applyNumberFormat="1" applyFont="1" applyAlignment="1">
      <alignment vertical="center"/>
    </xf>
    <xf numFmtId="0" fontId="55" fillId="0" borderId="0" xfId="0" applyFont="1"/>
    <xf numFmtId="0" fontId="3" fillId="8" borderId="4" xfId="0" applyFont="1" applyFill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8" borderId="5" xfId="0" applyFont="1" applyFill="1" applyBorder="1" applyAlignment="1">
      <alignment vertical="center" wrapText="1"/>
    </xf>
    <xf numFmtId="0" fontId="3" fillId="10" borderId="13" xfId="0" applyFont="1" applyFill="1" applyBorder="1" applyAlignment="1">
      <alignment horizontal="left" vertical="center"/>
    </xf>
    <xf numFmtId="4" fontId="2" fillId="12" borderId="3" xfId="0" applyNumberFormat="1" applyFont="1" applyFill="1" applyBorder="1" applyAlignment="1">
      <alignment vertical="center"/>
    </xf>
    <xf numFmtId="4" fontId="2" fillId="12" borderId="8" xfId="0" applyNumberFormat="1" applyFont="1" applyFill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1" fillId="0" borderId="8" xfId="2" applyFont="1" applyFill="1" applyBorder="1" applyAlignment="1">
      <alignment horizontal="center" vertical="center"/>
    </xf>
    <xf numFmtId="0" fontId="1" fillId="0" borderId="13" xfId="2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7" xfId="2" applyFont="1" applyFill="1" applyBorder="1" applyAlignment="1">
      <alignment horizontal="center" vertical="center"/>
    </xf>
    <xf numFmtId="49" fontId="1" fillId="0" borderId="8" xfId="2" applyNumberFormat="1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10" borderId="6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56" fillId="0" borderId="12" xfId="3" applyFont="1" applyFill="1" applyBorder="1" applyAlignment="1">
      <alignment horizontal="center" vertical="center"/>
    </xf>
    <xf numFmtId="0" fontId="14" fillId="0" borderId="10" xfId="3" applyFont="1" applyFill="1" applyBorder="1" applyAlignment="1">
      <alignment horizontal="center" vertical="center"/>
    </xf>
    <xf numFmtId="0" fontId="3" fillId="11" borderId="5" xfId="3" applyFont="1" applyFill="1" applyBorder="1" applyAlignment="1">
      <alignment horizontal="left" vertical="center"/>
    </xf>
    <xf numFmtId="0" fontId="14" fillId="0" borderId="8" xfId="3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" fontId="14" fillId="0" borderId="0" xfId="1" applyNumberFormat="1" applyFont="1" applyFill="1" applyAlignment="1">
      <alignment vertical="center"/>
    </xf>
    <xf numFmtId="0" fontId="14" fillId="0" borderId="12" xfId="3" applyFont="1" applyFill="1" applyBorder="1" applyAlignment="1">
      <alignment horizontal="center" vertical="center"/>
    </xf>
    <xf numFmtId="4" fontId="5" fillId="10" borderId="4" xfId="0" applyNumberFormat="1" applyFont="1" applyFill="1" applyBorder="1" applyAlignment="1">
      <alignment vertical="center"/>
    </xf>
    <xf numFmtId="0" fontId="8" fillId="0" borderId="12" xfId="3" applyFont="1" applyFill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3" fillId="10" borderId="0" xfId="0" applyFont="1" applyFill="1" applyBorder="1" applyAlignment="1">
      <alignment horizontal="left" vertical="center"/>
    </xf>
    <xf numFmtId="4" fontId="8" fillId="10" borderId="0" xfId="0" applyNumberFormat="1" applyFont="1" applyFill="1" applyBorder="1" applyAlignment="1">
      <alignment vertical="center"/>
    </xf>
    <xf numFmtId="4" fontId="8" fillId="10" borderId="12" xfId="0" applyNumberFormat="1" applyFont="1" applyFill="1" applyBorder="1" applyAlignment="1">
      <alignment vertical="center"/>
    </xf>
    <xf numFmtId="0" fontId="3" fillId="12" borderId="5" xfId="0" applyFont="1" applyFill="1" applyBorder="1" applyAlignment="1">
      <alignment horizontal="left" vertical="center" wrapText="1"/>
    </xf>
    <xf numFmtId="4" fontId="8" fillId="0" borderId="1" xfId="0" applyNumberFormat="1" applyFont="1" applyBorder="1" applyAlignment="1">
      <alignment vertical="center"/>
    </xf>
    <xf numFmtId="4" fontId="8" fillId="0" borderId="6" xfId="0" applyNumberFormat="1" applyFont="1" applyBorder="1" applyAlignment="1">
      <alignment vertical="center"/>
    </xf>
    <xf numFmtId="49" fontId="2" fillId="0" borderId="12" xfId="3" applyNumberFormat="1" applyFont="1" applyFill="1" applyBorder="1" applyAlignment="1">
      <alignment horizontal="center" vertical="center"/>
    </xf>
    <xf numFmtId="4" fontId="8" fillId="11" borderId="3" xfId="0" applyNumberFormat="1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4" fontId="8" fillId="3" borderId="12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14" fillId="0" borderId="4" xfId="0" applyNumberFormat="1" applyFont="1" applyBorder="1"/>
    <xf numFmtId="0" fontId="12" fillId="0" borderId="0" xfId="0" applyFont="1" applyFill="1" applyBorder="1" applyAlignment="1">
      <alignment horizontal="left" vertical="center"/>
    </xf>
    <xf numFmtId="4" fontId="8" fillId="0" borderId="0" xfId="2" applyNumberFormat="1" applyFont="1" applyFill="1" applyBorder="1" applyAlignment="1">
      <alignment vertical="center"/>
    </xf>
    <xf numFmtId="4" fontId="8" fillId="0" borderId="12" xfId="2" applyNumberFormat="1" applyFont="1" applyFill="1" applyBorder="1" applyAlignment="1">
      <alignment vertical="center"/>
    </xf>
    <xf numFmtId="4" fontId="8" fillId="8" borderId="3" xfId="2" applyNumberFormat="1" applyFont="1" applyFill="1" applyBorder="1" applyAlignment="1">
      <alignment vertical="center"/>
    </xf>
    <xf numFmtId="4" fontId="8" fillId="8" borderId="3" xfId="1" applyNumberFormat="1" applyFont="1" applyFill="1" applyBorder="1" applyAlignment="1">
      <alignment vertical="center"/>
    </xf>
    <xf numFmtId="4" fontId="5" fillId="0" borderId="0" xfId="2" applyNumberFormat="1" applyFont="1" applyFill="1" applyBorder="1" applyAlignment="1">
      <alignment vertical="center"/>
    </xf>
    <xf numFmtId="4" fontId="5" fillId="0" borderId="0" xfId="1" applyNumberFormat="1" applyFont="1" applyFill="1" applyBorder="1" applyAlignment="1">
      <alignment vertical="center"/>
    </xf>
    <xf numFmtId="0" fontId="3" fillId="11" borderId="5" xfId="0" applyFont="1" applyFill="1" applyBorder="1" applyAlignment="1">
      <alignment horizontal="left" vertical="center"/>
    </xf>
    <xf numFmtId="4" fontId="2" fillId="11" borderId="1" xfId="1" applyNumberFormat="1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3" borderId="1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0" fontId="41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7" fillId="0" borderId="15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4" fillId="0" borderId="4" xfId="1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/>
    </xf>
    <xf numFmtId="0" fontId="14" fillId="0" borderId="2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49" fontId="14" fillId="0" borderId="0" xfId="1" applyNumberFormat="1" applyFont="1" applyFill="1" applyBorder="1" applyAlignment="1">
      <alignment horizontal="center" vertical="center"/>
    </xf>
    <xf numFmtId="4" fontId="14" fillId="0" borderId="3" xfId="1" applyNumberFormat="1" applyFont="1" applyFill="1" applyBorder="1" applyAlignment="1">
      <alignment vertical="center"/>
    </xf>
    <xf numFmtId="4" fontId="14" fillId="0" borderId="8" xfId="1" applyNumberFormat="1" applyFont="1" applyFill="1" applyBorder="1" applyAlignment="1">
      <alignment vertical="center"/>
    </xf>
    <xf numFmtId="0" fontId="14" fillId="0" borderId="4" xfId="1" applyFont="1" applyFill="1" applyBorder="1" applyAlignment="1">
      <alignment horizontal="center" vertical="center"/>
    </xf>
    <xf numFmtId="49" fontId="14" fillId="0" borderId="4" xfId="1" applyNumberFormat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49" fontId="14" fillId="0" borderId="2" xfId="1" applyNumberFormat="1" applyFont="1" applyFill="1" applyBorder="1" applyAlignment="1">
      <alignment horizontal="center" vertical="center"/>
    </xf>
    <xf numFmtId="4" fontId="8" fillId="0" borderId="4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4" fontId="8" fillId="0" borderId="0" xfId="1" applyNumberFormat="1" applyFont="1" applyFill="1" applyBorder="1" applyAlignment="1">
      <alignment vertical="center"/>
    </xf>
    <xf numFmtId="0" fontId="11" fillId="0" borderId="7" xfId="1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" fontId="7" fillId="0" borderId="0" xfId="0" applyNumberFormat="1" applyFont="1" applyBorder="1" applyAlignment="1">
      <alignment vertical="center"/>
    </xf>
    <xf numFmtId="0" fontId="7" fillId="0" borderId="0" xfId="0" applyFont="1" applyBorder="1"/>
    <xf numFmtId="0" fontId="14" fillId="0" borderId="9" xfId="1" applyFont="1" applyFill="1" applyBorder="1" applyAlignment="1">
      <alignment horizontal="center" vertical="center"/>
    </xf>
    <xf numFmtId="49" fontId="14" fillId="0" borderId="10" xfId="1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vertical="center"/>
    </xf>
    <xf numFmtId="4" fontId="8" fillId="0" borderId="6" xfId="0" applyNumberFormat="1" applyFont="1" applyFill="1" applyBorder="1" applyAlignment="1">
      <alignment vertical="center"/>
    </xf>
    <xf numFmtId="0" fontId="41" fillId="0" borderId="0" xfId="0" applyFont="1" applyBorder="1" applyAlignment="1">
      <alignment horizontal="left" vertical="center"/>
    </xf>
    <xf numFmtId="4" fontId="1" fillId="0" borderId="4" xfId="0" applyNumberFormat="1" applyFont="1" applyBorder="1"/>
    <xf numFmtId="0" fontId="12" fillId="0" borderId="1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49" fontId="7" fillId="0" borderId="1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" fontId="1" fillId="0" borderId="10" xfId="0" applyNumberFormat="1" applyFont="1" applyBorder="1" applyAlignment="1">
      <alignment vertical="center"/>
    </xf>
    <xf numFmtId="4" fontId="2" fillId="0" borderId="8" xfId="0" applyNumberFormat="1" applyFont="1" applyFill="1" applyBorder="1" applyAlignment="1">
      <alignment vertical="center"/>
    </xf>
    <xf numFmtId="0" fontId="3" fillId="8" borderId="5" xfId="0" applyFont="1" applyFill="1" applyBorder="1" applyAlignment="1">
      <alignment horizontal="left" vertical="center"/>
    </xf>
    <xf numFmtId="4" fontId="1" fillId="8" borderId="1" xfId="0" applyNumberFormat="1" applyFont="1" applyFill="1" applyBorder="1" applyAlignment="1">
      <alignment vertical="center"/>
    </xf>
    <xf numFmtId="4" fontId="2" fillId="8" borderId="6" xfId="0" applyNumberFormat="1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11" borderId="7" xfId="0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5" fillId="8" borderId="8" xfId="0" applyFont="1" applyFill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49" fontId="7" fillId="0" borderId="14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0" fontId="11" fillId="0" borderId="5" xfId="0" applyFont="1" applyFill="1" applyBorder="1" applyAlignment="1">
      <alignment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49" fontId="4" fillId="0" borderId="0" xfId="2" applyNumberFormat="1" applyFont="1" applyFill="1" applyBorder="1" applyAlignment="1">
      <alignment horizontal="center" vertical="center"/>
    </xf>
    <xf numFmtId="4" fontId="14" fillId="11" borderId="3" xfId="2" applyNumberFormat="1" applyFont="1" applyFill="1" applyBorder="1" applyAlignment="1">
      <alignment vertical="center"/>
    </xf>
    <xf numFmtId="4" fontId="14" fillId="11" borderId="8" xfId="2" applyNumberFormat="1" applyFont="1" applyFill="1" applyBorder="1" applyAlignment="1">
      <alignment vertical="center"/>
    </xf>
    <xf numFmtId="49" fontId="1" fillId="0" borderId="4" xfId="2" applyNumberFormat="1" applyFont="1" applyFill="1" applyBorder="1" applyAlignment="1">
      <alignment horizontal="center" vertical="center"/>
    </xf>
    <xf numFmtId="0" fontId="3" fillId="10" borderId="4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4" fontId="1" fillId="0" borderId="12" xfId="2" applyNumberFormat="1" applyFont="1" applyFill="1" applyBorder="1" applyAlignment="1">
      <alignment vertical="center"/>
    </xf>
    <xf numFmtId="49" fontId="1" fillId="0" borderId="0" xfId="2" applyNumberFormat="1" applyFont="1" applyFill="1" applyBorder="1" applyAlignment="1">
      <alignment horizontal="center" vertical="center"/>
    </xf>
    <xf numFmtId="0" fontId="11" fillId="11" borderId="5" xfId="0" applyFont="1" applyFill="1" applyBorder="1" applyAlignment="1">
      <alignment horizontal="left" vertical="center" wrapText="1"/>
    </xf>
    <xf numFmtId="4" fontId="1" fillId="3" borderId="4" xfId="2" applyNumberFormat="1" applyFont="1" applyFill="1" applyBorder="1" applyAlignment="1">
      <alignment vertical="center"/>
    </xf>
    <xf numFmtId="0" fontId="11" fillId="11" borderId="7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vertical="center"/>
    </xf>
    <xf numFmtId="0" fontId="57" fillId="11" borderId="7" xfId="0" applyFont="1" applyFill="1" applyBorder="1" applyAlignment="1">
      <alignment horizontal="left" vertical="center" wrapText="1"/>
    </xf>
    <xf numFmtId="0" fontId="4" fillId="11" borderId="4" xfId="0" applyFont="1" applyFill="1" applyBorder="1" applyAlignment="1">
      <alignment horizontal="left" vertical="center"/>
    </xf>
    <xf numFmtId="4" fontId="1" fillId="11" borderId="4" xfId="2" applyNumberFormat="1" applyFont="1" applyFill="1" applyBorder="1" applyAlignment="1">
      <alignment vertical="center"/>
    </xf>
    <xf numFmtId="4" fontId="1" fillId="11" borderId="4" xfId="0" applyNumberFormat="1" applyFont="1" applyFill="1" applyBorder="1" applyAlignment="1">
      <alignment vertical="center"/>
    </xf>
    <xf numFmtId="4" fontId="1" fillId="11" borderId="1" xfId="2" applyNumberFormat="1" applyFont="1" applyFill="1" applyBorder="1" applyAlignment="1">
      <alignment vertical="center"/>
    </xf>
    <xf numFmtId="4" fontId="1" fillId="11" borderId="6" xfId="0" applyNumberFormat="1" applyFont="1" applyFill="1" applyBorder="1" applyAlignment="1">
      <alignment vertical="center"/>
    </xf>
    <xf numFmtId="4" fontId="1" fillId="0" borderId="4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vertical="center"/>
    </xf>
    <xf numFmtId="0" fontId="7" fillId="11" borderId="1" xfId="0" applyFont="1" applyFill="1" applyBorder="1" applyAlignment="1">
      <alignment vertical="center"/>
    </xf>
    <xf numFmtId="0" fontId="7" fillId="11" borderId="6" xfId="0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11" fillId="11" borderId="7" xfId="0" applyFont="1" applyFill="1" applyBorder="1" applyAlignment="1">
      <alignment vertical="center" wrapText="1"/>
    </xf>
    <xf numFmtId="4" fontId="2" fillId="9" borderId="1" xfId="2" applyNumberFormat="1" applyFont="1" applyFill="1" applyBorder="1" applyAlignment="1">
      <alignment vertical="center"/>
    </xf>
    <xf numFmtId="0" fontId="11" fillId="9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49" fontId="8" fillId="0" borderId="15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3" fillId="8" borderId="9" xfId="1" applyFont="1" applyFill="1" applyBorder="1" applyAlignment="1">
      <alignment horizontal="left" vertical="center"/>
    </xf>
    <xf numFmtId="4" fontId="4" fillId="8" borderId="2" xfId="1" applyNumberFormat="1" applyFont="1" applyFill="1" applyBorder="1" applyAlignment="1">
      <alignment vertical="center"/>
    </xf>
    <xf numFmtId="4" fontId="4" fillId="8" borderId="10" xfId="1" applyNumberFormat="1" applyFont="1" applyFill="1" applyBorder="1" applyAlignment="1">
      <alignment vertical="center"/>
    </xf>
    <xf numFmtId="0" fontId="14" fillId="3" borderId="15" xfId="1" applyFont="1" applyFill="1" applyBorder="1" applyAlignment="1">
      <alignment horizontal="center" vertical="center"/>
    </xf>
    <xf numFmtId="0" fontId="14" fillId="3" borderId="12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  <xf numFmtId="49" fontId="8" fillId="3" borderId="15" xfId="1" applyNumberFormat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vertical="center"/>
    </xf>
    <xf numFmtId="0" fontId="1" fillId="3" borderId="0" xfId="1" applyFont="1" applyFill="1" applyBorder="1" applyAlignment="1">
      <alignment horizontal="left" vertical="center"/>
    </xf>
    <xf numFmtId="4" fontId="4" fillId="3" borderId="0" xfId="1" applyNumberFormat="1" applyFont="1" applyFill="1" applyBorder="1" applyAlignment="1">
      <alignment vertical="center"/>
    </xf>
    <xf numFmtId="4" fontId="4" fillId="3" borderId="12" xfId="1" applyNumberFormat="1" applyFont="1" applyFill="1" applyBorder="1" applyAlignment="1">
      <alignment vertical="center"/>
    </xf>
    <xf numFmtId="0" fontId="8" fillId="0" borderId="12" xfId="1" applyFont="1" applyFill="1" applyBorder="1" applyAlignment="1">
      <alignment horizontal="center" vertical="center"/>
    </xf>
    <xf numFmtId="49" fontId="4" fillId="0" borderId="15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left" vertical="center"/>
    </xf>
    <xf numFmtId="4" fontId="3" fillId="0" borderId="1" xfId="1" applyNumberFormat="1" applyFont="1" applyFill="1" applyBorder="1" applyAlignment="1">
      <alignment vertical="center"/>
    </xf>
    <xf numFmtId="4" fontId="3" fillId="0" borderId="6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4" fontId="3" fillId="0" borderId="0" xfId="1" applyNumberFormat="1" applyFont="1" applyFill="1" applyBorder="1" applyAlignment="1">
      <alignment vertical="center"/>
    </xf>
    <xf numFmtId="4" fontId="3" fillId="0" borderId="12" xfId="1" applyNumberFormat="1" applyFont="1" applyFill="1" applyBorder="1" applyAlignment="1">
      <alignment vertical="center"/>
    </xf>
    <xf numFmtId="0" fontId="1" fillId="0" borderId="6" xfId="1" applyFont="1" applyFill="1" applyBorder="1" applyAlignment="1">
      <alignment horizontal="center" vertical="center"/>
    </xf>
    <xf numFmtId="49" fontId="1" fillId="0" borderId="4" xfId="1" applyNumberFormat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49" fontId="4" fillId="0" borderId="14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left" vertical="center"/>
    </xf>
    <xf numFmtId="4" fontId="1" fillId="0" borderId="13" xfId="1" applyNumberFormat="1" applyFont="1" applyFill="1" applyBorder="1" applyAlignment="1">
      <alignment vertical="center"/>
    </xf>
    <xf numFmtId="4" fontId="5" fillId="0" borderId="14" xfId="0" applyNumberFormat="1" applyFont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4" fontId="2" fillId="0" borderId="4" xfId="1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vertical="center"/>
    </xf>
    <xf numFmtId="0" fontId="3" fillId="3" borderId="5" xfId="0" applyFont="1" applyFill="1" applyBorder="1" applyAlignment="1">
      <alignment horizontal="left" vertical="center"/>
    </xf>
    <xf numFmtId="4" fontId="1" fillId="3" borderId="1" xfId="0" applyNumberFormat="1" applyFont="1" applyFill="1" applyBorder="1" applyAlignment="1">
      <alignment vertical="center"/>
    </xf>
    <xf numFmtId="4" fontId="1" fillId="3" borderId="6" xfId="0" applyNumberFormat="1" applyFont="1" applyFill="1" applyBorder="1" applyAlignment="1">
      <alignment vertical="center"/>
    </xf>
    <xf numFmtId="0" fontId="4" fillId="3" borderId="14" xfId="0" applyFont="1" applyFill="1" applyBorder="1" applyAlignment="1">
      <alignment horizontal="left" vertical="center"/>
    </xf>
    <xf numFmtId="4" fontId="1" fillId="3" borderId="14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4" fontId="2" fillId="0" borderId="12" xfId="2" applyNumberFormat="1" applyFont="1" applyFill="1" applyBorder="1" applyAlignment="1">
      <alignment vertical="center"/>
    </xf>
    <xf numFmtId="4" fontId="2" fillId="0" borderId="6" xfId="2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/>
    </xf>
    <xf numFmtId="4" fontId="1" fillId="8" borderId="6" xfId="0" applyNumberFormat="1" applyFont="1" applyFill="1" applyBorder="1" applyAlignment="1">
      <alignment vertical="center"/>
    </xf>
    <xf numFmtId="49" fontId="2" fillId="0" borderId="7" xfId="0" applyNumberFormat="1" applyFont="1" applyBorder="1" applyAlignment="1">
      <alignment horizontal="center" vertical="center"/>
    </xf>
    <xf numFmtId="0" fontId="3" fillId="11" borderId="5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3" fillId="11" borderId="7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10" borderId="4" xfId="0" applyFont="1" applyFill="1" applyBorder="1" applyAlignment="1">
      <alignment vertical="center" wrapText="1"/>
    </xf>
    <xf numFmtId="0" fontId="4" fillId="10" borderId="4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4" fontId="5" fillId="11" borderId="1" xfId="0" applyNumberFormat="1" applyFont="1" applyFill="1" applyBorder="1" applyAlignment="1">
      <alignment vertical="center"/>
    </xf>
    <xf numFmtId="4" fontId="5" fillId="11" borderId="6" xfId="0" applyNumberFormat="1" applyFont="1" applyFill="1" applyBorder="1" applyAlignment="1">
      <alignment vertical="center"/>
    </xf>
    <xf numFmtId="4" fontId="8" fillId="10" borderId="13" xfId="0" applyNumberFormat="1" applyFont="1" applyFill="1" applyBorder="1" applyAlignment="1">
      <alignment vertical="center"/>
    </xf>
    <xf numFmtId="4" fontId="8" fillId="0" borderId="4" xfId="0" applyNumberFormat="1" applyFont="1" applyFill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0" fontId="58" fillId="0" borderId="0" xfId="0" applyFont="1" applyFill="1" applyAlignment="1">
      <alignment vertical="center"/>
    </xf>
    <xf numFmtId="4" fontId="43" fillId="9" borderId="1" xfId="0" applyNumberFormat="1" applyFont="1" applyFill="1" applyBorder="1" applyAlignment="1">
      <alignment vertical="center"/>
    </xf>
    <xf numFmtId="4" fontId="43" fillId="9" borderId="6" xfId="0" applyNumberFormat="1" applyFont="1" applyFill="1" applyBorder="1" applyAlignment="1">
      <alignment vertical="center"/>
    </xf>
    <xf numFmtId="0" fontId="1" fillId="3" borderId="0" xfId="0" applyFont="1" applyFill="1" applyBorder="1"/>
    <xf numFmtId="4" fontId="1" fillId="0" borderId="0" xfId="0" applyNumberFormat="1" applyFont="1" applyFill="1"/>
    <xf numFmtId="0" fontId="4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" fontId="5" fillId="0" borderId="0" xfId="0" applyNumberFormat="1" applyFont="1" applyAlignment="1">
      <alignment horizontal="left"/>
    </xf>
    <xf numFmtId="0" fontId="59" fillId="0" borderId="0" xfId="0" applyFont="1"/>
    <xf numFmtId="4" fontId="12" fillId="0" borderId="0" xfId="0" applyNumberFormat="1" applyFont="1"/>
    <xf numFmtId="0" fontId="51" fillId="0" borderId="0" xfId="0" applyFont="1"/>
    <xf numFmtId="0" fontId="7" fillId="3" borderId="0" xfId="0" applyFont="1" applyFill="1" applyBorder="1"/>
    <xf numFmtId="0" fontId="3" fillId="0" borderId="1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" fontId="5" fillId="0" borderId="1" xfId="1" applyNumberFormat="1" applyFont="1" applyFill="1" applyBorder="1" applyAlignment="1">
      <alignment vertical="center"/>
    </xf>
    <xf numFmtId="4" fontId="5" fillId="0" borderId="6" xfId="1" applyNumberFormat="1" applyFont="1" applyFill="1" applyBorder="1" applyAlignment="1">
      <alignment vertical="center"/>
    </xf>
    <xf numFmtId="49" fontId="14" fillId="0" borderId="9" xfId="1" applyNumberFormat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left" vertical="center"/>
    </xf>
    <xf numFmtId="4" fontId="5" fillId="0" borderId="14" xfId="1" applyNumberFormat="1" applyFont="1" applyFill="1" applyBorder="1" applyAlignment="1">
      <alignment vertical="center"/>
    </xf>
    <xf numFmtId="0" fontId="11" fillId="0" borderId="5" xfId="1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vertical="center" wrapText="1"/>
    </xf>
    <xf numFmtId="0" fontId="8" fillId="0" borderId="0" xfId="0" applyFont="1"/>
    <xf numFmtId="2" fontId="8" fillId="0" borderId="0" xfId="0" applyNumberFormat="1" applyFont="1"/>
    <xf numFmtId="164" fontId="8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4" fontId="8" fillId="3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4" fontId="8" fillId="0" borderId="0" xfId="0" quotePrefix="1" applyNumberFormat="1" applyFont="1" applyAlignment="1">
      <alignment vertical="center"/>
    </xf>
    <xf numFmtId="4" fontId="60" fillId="0" borderId="0" xfId="0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 applyFill="1"/>
    <xf numFmtId="4" fontId="8" fillId="9" borderId="2" xfId="0" applyNumberFormat="1" applyFont="1" applyFill="1" applyBorder="1" applyAlignment="1">
      <alignment vertical="center"/>
    </xf>
    <xf numFmtId="164" fontId="8" fillId="9" borderId="2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4" fontId="8" fillId="10" borderId="2" xfId="0" applyNumberFormat="1" applyFont="1" applyFill="1" applyBorder="1" applyAlignment="1">
      <alignment vertical="center"/>
    </xf>
    <xf numFmtId="0" fontId="49" fillId="0" borderId="5" xfId="0" applyFont="1" applyFill="1" applyBorder="1" applyAlignment="1">
      <alignment vertical="center"/>
    </xf>
    <xf numFmtId="0" fontId="49" fillId="0" borderId="6" xfId="0" applyFont="1" applyFill="1" applyBorder="1" applyAlignment="1">
      <alignment vertical="center"/>
    </xf>
    <xf numFmtId="0" fontId="50" fillId="10" borderId="5" xfId="0" applyFont="1" applyFill="1" applyBorder="1" applyAlignment="1">
      <alignment vertical="center"/>
    </xf>
    <xf numFmtId="0" fontId="50" fillId="10" borderId="1" xfId="0" applyFont="1" applyFill="1" applyBorder="1" applyAlignment="1">
      <alignment vertical="center"/>
    </xf>
    <xf numFmtId="0" fontId="2" fillId="9" borderId="13" xfId="0" applyFont="1" applyFill="1" applyBorder="1" applyAlignment="1">
      <alignment vertical="center"/>
    </xf>
    <xf numFmtId="0" fontId="2" fillId="9" borderId="14" xfId="0" applyFont="1" applyFill="1" applyBorder="1" applyAlignment="1">
      <alignment vertical="center"/>
    </xf>
    <xf numFmtId="0" fontId="49" fillId="0" borderId="1" xfId="0" applyFont="1" applyFill="1" applyBorder="1" applyAlignment="1">
      <alignment vertical="center"/>
    </xf>
    <xf numFmtId="0" fontId="62" fillId="3" borderId="0" xfId="0" applyFont="1" applyFill="1" applyBorder="1"/>
    <xf numFmtId="4" fontId="2" fillId="0" borderId="0" xfId="0" applyNumberFormat="1" applyFont="1" applyFill="1"/>
    <xf numFmtId="0" fontId="2" fillId="0" borderId="0" xfId="0" applyFont="1" applyFill="1"/>
    <xf numFmtId="0" fontId="55" fillId="0" borderId="0" xfId="0" applyFont="1" applyFill="1"/>
    <xf numFmtId="4" fontId="59" fillId="0" borderId="0" xfId="0" applyNumberFormat="1" applyFont="1"/>
    <xf numFmtId="4" fontId="55" fillId="0" borderId="0" xfId="0" applyNumberFormat="1" applyFont="1"/>
    <xf numFmtId="0" fontId="62" fillId="0" borderId="0" xfId="0" applyFont="1"/>
    <xf numFmtId="4" fontId="18" fillId="0" borderId="4" xfId="0" applyNumberFormat="1" applyFont="1" applyBorder="1" applyAlignment="1">
      <alignment vertical="center"/>
    </xf>
    <xf numFmtId="0" fontId="52" fillId="0" borderId="0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3" fillId="3" borderId="5" xfId="0" applyFont="1" applyFill="1" applyBorder="1" applyAlignment="1">
      <alignment horizontal="left" vertical="center" wrapText="1"/>
    </xf>
    <xf numFmtId="0" fontId="3" fillId="8" borderId="4" xfId="0" applyFont="1" applyFill="1" applyBorder="1" applyAlignment="1">
      <alignment horizontal="left" vertical="center" wrapText="1"/>
    </xf>
    <xf numFmtId="0" fontId="11" fillId="11" borderId="7" xfId="2" applyFont="1" applyFill="1" applyBorder="1" applyAlignment="1">
      <alignment horizontal="left" vertical="center" wrapText="1"/>
    </xf>
    <xf numFmtId="0" fontId="3" fillId="9" borderId="5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vertical="center" wrapText="1"/>
    </xf>
    <xf numFmtId="0" fontId="4" fillId="9" borderId="6" xfId="0" applyFont="1" applyFill="1" applyBorder="1" applyAlignment="1">
      <alignment vertical="center" wrapText="1"/>
    </xf>
    <xf numFmtId="0" fontId="11" fillId="9" borderId="5" xfId="0" applyFont="1" applyFill="1" applyBorder="1" applyAlignment="1">
      <alignment vertical="center" wrapText="1"/>
    </xf>
    <xf numFmtId="0" fontId="11" fillId="9" borderId="6" xfId="0" applyFont="1" applyFill="1" applyBorder="1" applyAlignment="1">
      <alignment vertical="center"/>
    </xf>
    <xf numFmtId="0" fontId="3" fillId="9" borderId="7" xfId="0" applyFont="1" applyFill="1" applyBorder="1" applyAlignment="1">
      <alignment horizontal="left" vertical="center" wrapText="1"/>
    </xf>
    <xf numFmtId="4" fontId="2" fillId="9" borderId="3" xfId="2" applyNumberFormat="1" applyFont="1" applyFill="1" applyBorder="1" applyAlignment="1">
      <alignment vertical="center"/>
    </xf>
    <xf numFmtId="4" fontId="2" fillId="9" borderId="3" xfId="0" applyNumberFormat="1" applyFont="1" applyFill="1" applyBorder="1" applyAlignment="1">
      <alignment vertical="center"/>
    </xf>
    <xf numFmtId="4" fontId="2" fillId="9" borderId="8" xfId="0" applyNumberFormat="1" applyFont="1" applyFill="1" applyBorder="1" applyAlignment="1">
      <alignment vertical="center"/>
    </xf>
    <xf numFmtId="0" fontId="15" fillId="3" borderId="0" xfId="0" applyFont="1" applyFill="1" applyBorder="1" applyAlignment="1">
      <alignment wrapText="1"/>
    </xf>
    <xf numFmtId="4" fontId="33" fillId="0" borderId="0" xfId="0" applyNumberFormat="1" applyFont="1" applyBorder="1" applyAlignment="1">
      <alignment horizontal="right" vertical="center" wrapText="1"/>
    </xf>
    <xf numFmtId="0" fontId="33" fillId="0" borderId="0" xfId="0" applyFont="1" applyFill="1"/>
    <xf numFmtId="0" fontId="61" fillId="9" borderId="0" xfId="0" applyFont="1" applyFill="1" applyAlignment="1">
      <alignment vertical="center" textRotation="90" wrapText="1"/>
    </xf>
    <xf numFmtId="4" fontId="27" fillId="10" borderId="4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63" fillId="0" borderId="0" xfId="0" applyFont="1"/>
    <xf numFmtId="4" fontId="62" fillId="0" borderId="0" xfId="0" applyNumberFormat="1" applyFont="1" applyAlignment="1">
      <alignment vertical="center"/>
    </xf>
    <xf numFmtId="4" fontId="15" fillId="0" borderId="4" xfId="0" applyNumberFormat="1" applyFont="1" applyBorder="1" applyAlignment="1">
      <alignment vertical="center"/>
    </xf>
    <xf numFmtId="4" fontId="15" fillId="0" borderId="4" xfId="2" applyNumberFormat="1" applyFont="1" applyFill="1" applyBorder="1" applyAlignment="1">
      <alignment vertical="center"/>
    </xf>
    <xf numFmtId="4" fontId="15" fillId="0" borderId="4" xfId="1" applyNumberFormat="1" applyFont="1" applyFill="1" applyBorder="1" applyAlignment="1">
      <alignment vertical="center"/>
    </xf>
    <xf numFmtId="4" fontId="15" fillId="0" borderId="4" xfId="0" applyNumberFormat="1" applyFont="1" applyFill="1" applyBorder="1" applyAlignment="1">
      <alignment vertical="center"/>
    </xf>
    <xf numFmtId="4" fontId="18" fillId="0" borderId="4" xfId="1" applyNumberFormat="1" applyFont="1" applyFill="1" applyBorder="1" applyAlignment="1">
      <alignment vertical="center"/>
    </xf>
    <xf numFmtId="4" fontId="18" fillId="0" borderId="4" xfId="2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4" fontId="15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/>
    </xf>
    <xf numFmtId="0" fontId="43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center" vertical="center"/>
    </xf>
    <xf numFmtId="49" fontId="43" fillId="0" borderId="0" xfId="0" applyNumberFormat="1" applyFont="1" applyFill="1" applyBorder="1" applyAlignment="1">
      <alignment horizontal="center" vertical="center"/>
    </xf>
    <xf numFmtId="4" fontId="43" fillId="0" borderId="0" xfId="0" applyNumberFormat="1" applyFont="1" applyFill="1" applyBorder="1" applyAlignment="1">
      <alignment vertical="center"/>
    </xf>
    <xf numFmtId="49" fontId="19" fillId="0" borderId="15" xfId="0" applyNumberFormat="1" applyFont="1" applyBorder="1" applyAlignment="1">
      <alignment horizontal="center" vertical="center"/>
    </xf>
    <xf numFmtId="0" fontId="29" fillId="11" borderId="5" xfId="0" applyFont="1" applyFill="1" applyBorder="1" applyAlignment="1">
      <alignment horizontal="left" vertical="center"/>
    </xf>
    <xf numFmtId="4" fontId="19" fillId="11" borderId="1" xfId="0" applyNumberFormat="1" applyFont="1" applyFill="1" applyBorder="1" applyAlignment="1">
      <alignment vertical="center"/>
    </xf>
    <xf numFmtId="4" fontId="19" fillId="11" borderId="6" xfId="0" applyNumberFormat="1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4" fontId="19" fillId="0" borderId="4" xfId="0" applyNumberFormat="1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29" fillId="10" borderId="4" xfId="0" applyFont="1" applyFill="1" applyBorder="1" applyAlignment="1">
      <alignment horizontal="left" vertical="center" wrapText="1"/>
    </xf>
    <xf numFmtId="4" fontId="19" fillId="10" borderId="4" xfId="0" applyNumberFormat="1" applyFont="1" applyFill="1" applyBorder="1" applyAlignment="1">
      <alignment vertical="center"/>
    </xf>
    <xf numFmtId="49" fontId="18" fillId="0" borderId="2" xfId="0" applyNumberFormat="1" applyFont="1" applyBorder="1" applyAlignment="1">
      <alignment horizontal="center" vertical="center"/>
    </xf>
    <xf numFmtId="0" fontId="29" fillId="10" borderId="4" xfId="0" applyFont="1" applyFill="1" applyBorder="1" applyAlignment="1">
      <alignment horizontal="left" vertical="center"/>
    </xf>
    <xf numFmtId="0" fontId="28" fillId="11" borderId="7" xfId="0" applyFont="1" applyFill="1" applyBorder="1" applyAlignment="1">
      <alignment horizontal="left" vertical="center" wrapText="1"/>
    </xf>
    <xf numFmtId="0" fontId="30" fillId="0" borderId="4" xfId="0" applyFont="1" applyBorder="1" applyAlignment="1">
      <alignment vertical="center"/>
    </xf>
    <xf numFmtId="4" fontId="27" fillId="0" borderId="4" xfId="0" applyNumberFormat="1" applyFont="1" applyBorder="1" applyAlignment="1">
      <alignment vertical="center"/>
    </xf>
    <xf numFmtId="0" fontId="30" fillId="0" borderId="4" xfId="0" applyFont="1" applyBorder="1" applyAlignment="1">
      <alignment horizontal="left" vertical="center"/>
    </xf>
    <xf numFmtId="49" fontId="15" fillId="0" borderId="2" xfId="0" applyNumberFormat="1" applyFont="1" applyBorder="1" applyAlignment="1">
      <alignment horizontal="center" vertical="center"/>
    </xf>
    <xf numFmtId="0" fontId="28" fillId="10" borderId="4" xfId="0" applyFont="1" applyFill="1" applyBorder="1" applyAlignment="1">
      <alignment horizontal="left" vertical="center"/>
    </xf>
    <xf numFmtId="4" fontId="64" fillId="0" borderId="4" xfId="0" applyNumberFormat="1" applyFont="1" applyBorder="1" applyAlignment="1">
      <alignment vertical="center"/>
    </xf>
    <xf numFmtId="4" fontId="65" fillId="0" borderId="4" xfId="0" applyNumberFormat="1" applyFont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5" xfId="1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7" fillId="0" borderId="15" xfId="0" applyFont="1" applyBorder="1"/>
    <xf numFmtId="49" fontId="2" fillId="0" borderId="11" xfId="0" applyNumberFormat="1" applyFont="1" applyFill="1" applyBorder="1" applyAlignment="1">
      <alignment horizontal="center" vertical="center"/>
    </xf>
    <xf numFmtId="49" fontId="66" fillId="0" borderId="14" xfId="0" applyNumberFormat="1" applyFont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left" vertical="center"/>
    </xf>
    <xf numFmtId="3" fontId="11" fillId="0" borderId="4" xfId="4" applyNumberFormat="1" applyFont="1" applyFill="1" applyBorder="1" applyAlignment="1" applyProtection="1">
      <alignment horizontal="right" vertical="center"/>
    </xf>
    <xf numFmtId="3" fontId="4" fillId="0" borderId="4" xfId="4" applyNumberFormat="1" applyFont="1" applyFill="1" applyBorder="1" applyAlignment="1" applyProtection="1">
      <alignment horizontal="right" vertical="center"/>
    </xf>
    <xf numFmtId="49" fontId="11" fillId="0" borderId="4" xfId="0" applyNumberFormat="1" applyFont="1" applyFill="1" applyBorder="1" applyAlignment="1" applyProtection="1">
      <alignment horizontal="left" vertical="center"/>
    </xf>
    <xf numFmtId="49" fontId="4" fillId="0" borderId="4" xfId="0" applyNumberFormat="1" applyFont="1" applyFill="1" applyBorder="1" applyAlignment="1" applyProtection="1">
      <alignment horizontal="left" vertical="center"/>
    </xf>
    <xf numFmtId="3" fontId="4" fillId="0" borderId="4" xfId="4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 applyProtection="1">
      <alignment horizontal="left" vertical="center" wrapText="1"/>
    </xf>
    <xf numFmtId="0" fontId="50" fillId="0" borderId="5" xfId="0" applyFont="1" applyFill="1" applyBorder="1" applyAlignment="1">
      <alignment horizontal="center" vertical="center"/>
    </xf>
    <xf numFmtId="0" fontId="50" fillId="0" borderId="6" xfId="0" applyFont="1" applyFill="1" applyBorder="1" applyAlignment="1">
      <alignment horizontal="center" vertical="center"/>
    </xf>
    <xf numFmtId="0" fontId="50" fillId="0" borderId="5" xfId="0" applyFont="1" applyFill="1" applyBorder="1" applyAlignment="1">
      <alignment vertical="center"/>
    </xf>
    <xf numFmtId="0" fontId="50" fillId="0" borderId="6" xfId="0" applyFont="1" applyFill="1" applyBorder="1" applyAlignment="1">
      <alignment vertical="center"/>
    </xf>
    <xf numFmtId="3" fontId="12" fillId="0" borderId="4" xfId="0" applyNumberFormat="1" applyFont="1" applyBorder="1" applyAlignment="1">
      <alignment vertical="center"/>
    </xf>
    <xf numFmtId="0" fontId="50" fillId="0" borderId="0" xfId="0" applyFont="1" applyFill="1" applyBorder="1" applyAlignment="1">
      <alignment horizontal="left" vertical="center"/>
    </xf>
    <xf numFmtId="4" fontId="4" fillId="0" borderId="0" xfId="0" applyNumberFormat="1" applyFont="1" applyFill="1"/>
    <xf numFmtId="4" fontId="5" fillId="0" borderId="0" xfId="0" applyNumberFormat="1" applyFont="1" applyFill="1"/>
    <xf numFmtId="0" fontId="5" fillId="0" borderId="0" xfId="0" applyFont="1" applyFill="1"/>
    <xf numFmtId="0" fontId="14" fillId="0" borderId="0" xfId="0" applyFont="1" applyFill="1" applyBorder="1"/>
    <xf numFmtId="4" fontId="48" fillId="0" borderId="0" xfId="0" applyNumberFormat="1" applyFont="1" applyFill="1" applyAlignment="1">
      <alignment vertical="center"/>
    </xf>
    <xf numFmtId="0" fontId="48" fillId="0" borderId="0" xfId="0" applyFont="1" applyFill="1"/>
    <xf numFmtId="0" fontId="50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50" fillId="0" borderId="0" xfId="0" applyFont="1" applyFill="1" applyBorder="1" applyAlignment="1"/>
    <xf numFmtId="0" fontId="1" fillId="0" borderId="0" xfId="0" applyFont="1" applyFill="1" applyBorder="1" applyAlignment="1"/>
    <xf numFmtId="4" fontId="4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center"/>
    </xf>
    <xf numFmtId="4" fontId="50" fillId="0" borderId="0" xfId="0" applyNumberFormat="1" applyFont="1" applyFill="1" applyAlignment="1">
      <alignment vertical="center"/>
    </xf>
    <xf numFmtId="0" fontId="50" fillId="0" borderId="0" xfId="0" applyFont="1" applyFill="1"/>
    <xf numFmtId="0" fontId="50" fillId="0" borderId="0" xfId="0" applyFont="1" applyFill="1" applyBorder="1" applyAlignment="1">
      <alignment horizontal="left"/>
    </xf>
    <xf numFmtId="4" fontId="53" fillId="0" borderId="0" xfId="0" applyNumberFormat="1" applyFont="1"/>
    <xf numFmtId="4" fontId="14" fillId="0" borderId="0" xfId="0" applyNumberFormat="1" applyFont="1"/>
    <xf numFmtId="4" fontId="62" fillId="0" borderId="0" xfId="0" applyNumberFormat="1" applyFont="1"/>
    <xf numFmtId="4" fontId="14" fillId="0" borderId="0" xfId="0" applyNumberFormat="1" applyFont="1" applyFill="1"/>
    <xf numFmtId="4" fontId="21" fillId="0" borderId="0" xfId="0" applyNumberFormat="1" applyFont="1"/>
    <xf numFmtId="4" fontId="22" fillId="0" borderId="0" xfId="0" applyNumberFormat="1" applyFont="1"/>
    <xf numFmtId="4" fontId="21" fillId="0" borderId="0" xfId="0" applyNumberFormat="1" applyFont="1" applyFill="1"/>
    <xf numFmtId="0" fontId="39" fillId="0" borderId="5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left" vertical="center"/>
    </xf>
    <xf numFmtId="0" fontId="39" fillId="0" borderId="6" xfId="0" applyFont="1" applyFill="1" applyBorder="1" applyAlignment="1">
      <alignment horizontal="left" vertical="center"/>
    </xf>
    <xf numFmtId="0" fontId="50" fillId="0" borderId="4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 wrapText="1"/>
    </xf>
    <xf numFmtId="0" fontId="34" fillId="0" borderId="0" xfId="0" applyFont="1" applyFill="1" applyBorder="1" applyAlignment="1">
      <alignment horizontal="left" vertical="center"/>
    </xf>
    <xf numFmtId="0" fontId="2" fillId="9" borderId="5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49" fontId="50" fillId="0" borderId="5" xfId="0" applyNumberFormat="1" applyFont="1" applyBorder="1" applyAlignment="1">
      <alignment horizontal="center" vertical="center"/>
    </xf>
    <xf numFmtId="49" fontId="50" fillId="0" borderId="1" xfId="0" applyNumberFormat="1" applyFont="1" applyBorder="1" applyAlignment="1">
      <alignment horizontal="center" vertical="center"/>
    </xf>
    <xf numFmtId="49" fontId="50" fillId="0" borderId="6" xfId="0" applyNumberFormat="1" applyFont="1" applyBorder="1" applyAlignment="1">
      <alignment horizontal="center" vertical="center"/>
    </xf>
    <xf numFmtId="0" fontId="49" fillId="10" borderId="5" xfId="0" applyFont="1" applyFill="1" applyBorder="1" applyAlignment="1">
      <alignment horizontal="left" vertical="center" wrapText="1"/>
    </xf>
    <xf numFmtId="0" fontId="49" fillId="10" borderId="1" xfId="0" applyFont="1" applyFill="1" applyBorder="1" applyAlignment="1">
      <alignment horizontal="left" vertical="center" wrapText="1"/>
    </xf>
    <xf numFmtId="0" fontId="49" fillId="10" borderId="6" xfId="0" applyFont="1" applyFill="1" applyBorder="1" applyAlignment="1">
      <alignment horizontal="left" vertical="center" wrapText="1"/>
    </xf>
    <xf numFmtId="0" fontId="43" fillId="10" borderId="5" xfId="0" applyFont="1" applyFill="1" applyBorder="1" applyAlignment="1">
      <alignment horizontal="left" vertical="center" wrapText="1"/>
    </xf>
    <xf numFmtId="0" fontId="43" fillId="10" borderId="1" xfId="0" applyFont="1" applyFill="1" applyBorder="1" applyAlignment="1">
      <alignment horizontal="left" vertical="center" wrapText="1"/>
    </xf>
    <xf numFmtId="0" fontId="43" fillId="10" borderId="6" xfId="0" applyFont="1" applyFill="1" applyBorder="1" applyAlignment="1">
      <alignment horizontal="left" vertical="center" wrapText="1"/>
    </xf>
    <xf numFmtId="0" fontId="42" fillId="0" borderId="5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42" fillId="0" borderId="6" xfId="0" applyFont="1" applyFill="1" applyBorder="1" applyAlignment="1">
      <alignment horizontal="center" vertical="center"/>
    </xf>
    <xf numFmtId="0" fontId="47" fillId="0" borderId="5" xfId="0" applyFont="1" applyFill="1" applyBorder="1" applyAlignment="1">
      <alignment horizontal="left" vertical="center" wrapText="1"/>
    </xf>
    <xf numFmtId="0" fontId="47" fillId="0" borderId="1" xfId="0" applyFont="1" applyFill="1" applyBorder="1" applyAlignment="1">
      <alignment horizontal="left" vertical="center" wrapText="1"/>
    </xf>
    <xf numFmtId="0" fontId="47" fillId="0" borderId="6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39" fillId="0" borderId="4" xfId="0" applyFont="1" applyFill="1" applyBorder="1" applyAlignment="1">
      <alignment horizontal="left" vertical="center"/>
    </xf>
    <xf numFmtId="49" fontId="39" fillId="0" borderId="5" xfId="0" applyNumberFormat="1" applyFont="1" applyFill="1" applyBorder="1" applyAlignment="1">
      <alignment horizontal="left" vertical="center"/>
    </xf>
    <xf numFmtId="49" fontId="39" fillId="0" borderId="1" xfId="0" applyNumberFormat="1" applyFont="1" applyFill="1" applyBorder="1" applyAlignment="1">
      <alignment horizontal="left" vertical="center"/>
    </xf>
    <xf numFmtId="49" fontId="39" fillId="0" borderId="6" xfId="0" applyNumberFormat="1" applyFont="1" applyFill="1" applyBorder="1" applyAlignment="1">
      <alignment horizontal="left" vertical="center"/>
    </xf>
    <xf numFmtId="0" fontId="59" fillId="0" borderId="0" xfId="0" applyFont="1" applyFill="1" applyBorder="1" applyAlignment="1">
      <alignment horizontal="center"/>
    </xf>
    <xf numFmtId="49" fontId="45" fillId="0" borderId="7" xfId="0" applyNumberFormat="1" applyFont="1" applyFill="1" applyBorder="1" applyAlignment="1">
      <alignment horizontal="center" vertical="center"/>
    </xf>
    <xf numFmtId="49" fontId="45" fillId="0" borderId="3" xfId="0" applyNumberFormat="1" applyFont="1" applyFill="1" applyBorder="1" applyAlignment="1">
      <alignment horizontal="center" vertical="center"/>
    </xf>
    <xf numFmtId="49" fontId="45" fillId="0" borderId="8" xfId="0" applyNumberFormat="1" applyFont="1" applyFill="1" applyBorder="1" applyAlignment="1">
      <alignment horizontal="center" vertical="center"/>
    </xf>
    <xf numFmtId="0" fontId="43" fillId="9" borderId="5" xfId="0" applyFont="1" applyFill="1" applyBorder="1" applyAlignment="1">
      <alignment horizontal="center" vertical="center"/>
    </xf>
    <xf numFmtId="0" fontId="43" fillId="9" borderId="1" xfId="0" applyFont="1" applyFill="1" applyBorder="1" applyAlignment="1">
      <alignment horizontal="center" vertical="center"/>
    </xf>
    <xf numFmtId="0" fontId="43" fillId="9" borderId="6" xfId="0" applyFont="1" applyFill="1" applyBorder="1" applyAlignment="1">
      <alignment horizontal="center" vertical="center"/>
    </xf>
    <xf numFmtId="0" fontId="47" fillId="10" borderId="5" xfId="0" applyFont="1" applyFill="1" applyBorder="1" applyAlignment="1">
      <alignment horizontal="left" vertical="center"/>
    </xf>
    <xf numFmtId="0" fontId="47" fillId="10" borderId="1" xfId="0" applyFont="1" applyFill="1" applyBorder="1" applyAlignment="1">
      <alignment horizontal="left" vertical="center"/>
    </xf>
    <xf numFmtId="0" fontId="47" fillId="10" borderId="6" xfId="0" applyFont="1" applyFill="1" applyBorder="1" applyAlignment="1">
      <alignment horizontal="left" vertical="center"/>
    </xf>
    <xf numFmtId="0" fontId="43" fillId="9" borderId="5" xfId="0" applyFont="1" applyFill="1" applyBorder="1" applyAlignment="1">
      <alignment horizontal="center" vertical="center" textRotation="90" wrapText="1"/>
    </xf>
    <xf numFmtId="0" fontId="43" fillId="9" borderId="6" xfId="0" applyFont="1" applyFill="1" applyBorder="1" applyAlignment="1">
      <alignment horizontal="center" vertical="center" textRotation="90" wrapText="1"/>
    </xf>
    <xf numFmtId="0" fontId="43" fillId="9" borderId="7" xfId="0" applyFont="1" applyFill="1" applyBorder="1" applyAlignment="1">
      <alignment horizontal="center" vertical="center" wrapText="1"/>
    </xf>
    <xf numFmtId="0" fontId="43" fillId="9" borderId="8" xfId="0" applyFont="1" applyFill="1" applyBorder="1" applyAlignment="1">
      <alignment horizontal="center" vertical="center" wrapText="1"/>
    </xf>
    <xf numFmtId="0" fontId="43" fillId="9" borderId="11" xfId="0" applyFont="1" applyFill="1" applyBorder="1" applyAlignment="1">
      <alignment horizontal="center" vertical="center" wrapText="1"/>
    </xf>
    <xf numFmtId="0" fontId="43" fillId="9" borderId="12" xfId="0" applyFont="1" applyFill="1" applyBorder="1" applyAlignment="1">
      <alignment horizontal="center" vertical="center" wrapText="1"/>
    </xf>
    <xf numFmtId="0" fontId="43" fillId="9" borderId="9" xfId="0" applyFont="1" applyFill="1" applyBorder="1" applyAlignment="1">
      <alignment horizontal="center" vertical="center" wrapText="1"/>
    </xf>
    <xf numFmtId="0" fontId="43" fillId="9" borderId="10" xfId="0" applyFont="1" applyFill="1" applyBorder="1" applyAlignment="1">
      <alignment horizontal="center" vertical="center" wrapText="1"/>
    </xf>
    <xf numFmtId="0" fontId="50" fillId="0" borderId="5" xfId="0" applyFont="1" applyBorder="1" applyAlignment="1" applyProtection="1">
      <alignment horizontal="left" vertical="center" wrapText="1"/>
      <protection locked="0"/>
    </xf>
    <xf numFmtId="0" fontId="50" fillId="0" borderId="1" xfId="0" applyFont="1" applyBorder="1" applyAlignment="1" applyProtection="1">
      <alignment horizontal="left" vertical="center" wrapText="1"/>
      <protection locked="0"/>
    </xf>
    <xf numFmtId="0" fontId="50" fillId="0" borderId="6" xfId="0" applyFont="1" applyBorder="1" applyAlignment="1" applyProtection="1">
      <alignment horizontal="left" vertical="center" wrapText="1"/>
      <protection locked="0"/>
    </xf>
    <xf numFmtId="0" fontId="50" fillId="0" borderId="5" xfId="0" applyFont="1" applyFill="1" applyBorder="1" applyAlignment="1">
      <alignment horizontal="center" vertical="center"/>
    </xf>
    <xf numFmtId="0" fontId="50" fillId="0" borderId="6" xfId="0" applyFont="1" applyFill="1" applyBorder="1" applyAlignment="1">
      <alignment horizontal="center" vertical="center"/>
    </xf>
    <xf numFmtId="0" fontId="43" fillId="10" borderId="5" xfId="0" applyFont="1" applyFill="1" applyBorder="1" applyAlignment="1">
      <alignment horizontal="center" vertical="center"/>
    </xf>
    <xf numFmtId="0" fontId="43" fillId="10" borderId="1" xfId="0" applyFont="1" applyFill="1" applyBorder="1" applyAlignment="1">
      <alignment horizontal="center" vertical="center"/>
    </xf>
    <xf numFmtId="0" fontId="50" fillId="0" borderId="5" xfId="0" applyFont="1" applyFill="1" applyBorder="1" applyAlignment="1">
      <alignment horizontal="left" vertical="center"/>
    </xf>
    <xf numFmtId="0" fontId="50" fillId="0" borderId="1" xfId="0" applyFont="1" applyFill="1" applyBorder="1" applyAlignment="1">
      <alignment horizontal="left" vertical="center"/>
    </xf>
    <xf numFmtId="0" fontId="50" fillId="0" borderId="6" xfId="0" applyFont="1" applyFill="1" applyBorder="1" applyAlignment="1">
      <alignment horizontal="left" vertical="center"/>
    </xf>
    <xf numFmtId="0" fontId="50" fillId="0" borderId="5" xfId="0" applyFont="1" applyFill="1" applyBorder="1" applyAlignment="1">
      <alignment vertical="center"/>
    </xf>
    <xf numFmtId="0" fontId="50" fillId="0" borderId="1" xfId="0" applyFont="1" applyFill="1" applyBorder="1" applyAlignment="1">
      <alignment vertical="center"/>
    </xf>
    <xf numFmtId="0" fontId="50" fillId="0" borderId="6" xfId="0" applyFont="1" applyFill="1" applyBorder="1" applyAlignment="1">
      <alignment vertical="center"/>
    </xf>
    <xf numFmtId="0" fontId="50" fillId="0" borderId="7" xfId="0" applyFont="1" applyFill="1" applyBorder="1" applyAlignment="1">
      <alignment horizontal="center" vertical="center"/>
    </xf>
    <xf numFmtId="0" fontId="50" fillId="0" borderId="8" xfId="0" applyFont="1" applyFill="1" applyBorder="1" applyAlignment="1">
      <alignment horizontal="center" vertical="center"/>
    </xf>
    <xf numFmtId="0" fontId="52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0" fillId="0" borderId="5" xfId="0" applyFont="1" applyBorder="1" applyAlignment="1" applyProtection="1">
      <alignment horizontal="left" vertical="center"/>
      <protection locked="0"/>
    </xf>
    <xf numFmtId="0" fontId="50" fillId="0" borderId="1" xfId="0" applyFont="1" applyBorder="1" applyAlignment="1" applyProtection="1">
      <alignment horizontal="left" vertical="center"/>
      <protection locked="0"/>
    </xf>
    <xf numFmtId="0" fontId="50" fillId="0" borderId="6" xfId="0" applyFont="1" applyBorder="1" applyAlignment="1" applyProtection="1">
      <alignment horizontal="left" vertical="center"/>
      <protection locked="0"/>
    </xf>
    <xf numFmtId="0" fontId="47" fillId="10" borderId="9" xfId="0" applyFont="1" applyFill="1" applyBorder="1" applyAlignment="1">
      <alignment horizontal="left" vertical="center"/>
    </xf>
    <xf numFmtId="0" fontId="47" fillId="10" borderId="2" xfId="0" applyFont="1" applyFill="1" applyBorder="1" applyAlignment="1">
      <alignment horizontal="left" vertical="center"/>
    </xf>
    <xf numFmtId="0" fontId="47" fillId="10" borderId="10" xfId="0" applyFont="1" applyFill="1" applyBorder="1" applyAlignment="1">
      <alignment horizontal="left" vertical="center"/>
    </xf>
    <xf numFmtId="0" fontId="49" fillId="10" borderId="5" xfId="0" applyFont="1" applyFill="1" applyBorder="1" applyAlignment="1">
      <alignment horizontal="left" vertical="center"/>
    </xf>
    <xf numFmtId="0" fontId="49" fillId="10" borderId="1" xfId="0" applyFont="1" applyFill="1" applyBorder="1" applyAlignment="1">
      <alignment horizontal="left" vertical="center"/>
    </xf>
    <xf numFmtId="0" fontId="49" fillId="10" borderId="6" xfId="0" applyFont="1" applyFill="1" applyBorder="1" applyAlignment="1">
      <alignment horizontal="left" vertical="center"/>
    </xf>
    <xf numFmtId="0" fontId="47" fillId="0" borderId="7" xfId="0" applyFont="1" applyFill="1" applyBorder="1" applyAlignment="1">
      <alignment horizontal="left" vertical="center"/>
    </xf>
    <xf numFmtId="0" fontId="47" fillId="0" borderId="3" xfId="0" applyFont="1" applyFill="1" applyBorder="1" applyAlignment="1">
      <alignment horizontal="left" vertical="center"/>
    </xf>
    <xf numFmtId="0" fontId="47" fillId="0" borderId="8" xfId="0" applyFont="1" applyFill="1" applyBorder="1" applyAlignment="1">
      <alignment horizontal="left" vertical="center"/>
    </xf>
    <xf numFmtId="0" fontId="49" fillId="10" borderId="7" xfId="0" applyFont="1" applyFill="1" applyBorder="1" applyAlignment="1">
      <alignment horizontal="left" vertical="center" wrapText="1"/>
    </xf>
    <xf numFmtId="0" fontId="49" fillId="10" borderId="3" xfId="0" applyFont="1" applyFill="1" applyBorder="1" applyAlignment="1">
      <alignment horizontal="left" vertical="center" wrapText="1"/>
    </xf>
    <xf numFmtId="0" fontId="49" fillId="10" borderId="8" xfId="0" applyFont="1" applyFill="1" applyBorder="1" applyAlignment="1">
      <alignment horizontal="left" vertical="center" wrapText="1"/>
    </xf>
    <xf numFmtId="0" fontId="47" fillId="9" borderId="5" xfId="0" applyFont="1" applyFill="1" applyBorder="1" applyAlignment="1">
      <alignment horizontal="left" vertical="center" wrapText="1"/>
    </xf>
    <xf numFmtId="0" fontId="47" fillId="9" borderId="1" xfId="0" applyFont="1" applyFill="1" applyBorder="1" applyAlignment="1">
      <alignment horizontal="left" vertical="center" wrapText="1"/>
    </xf>
    <xf numFmtId="0" fontId="49" fillId="10" borderId="9" xfId="0" applyFont="1" applyFill="1" applyBorder="1" applyAlignment="1">
      <alignment horizontal="left" vertical="center" wrapText="1"/>
    </xf>
    <xf numFmtId="0" fontId="49" fillId="10" borderId="2" xfId="0" applyFont="1" applyFill="1" applyBorder="1" applyAlignment="1">
      <alignment horizontal="left" vertical="center" wrapText="1"/>
    </xf>
    <xf numFmtId="0" fontId="49" fillId="10" borderId="10" xfId="0" applyFont="1" applyFill="1" applyBorder="1" applyAlignment="1">
      <alignment horizontal="left" vertical="center" wrapText="1"/>
    </xf>
    <xf numFmtId="0" fontId="49" fillId="10" borderId="9" xfId="0" applyFont="1" applyFill="1" applyBorder="1" applyAlignment="1">
      <alignment horizontal="left" vertical="center"/>
    </xf>
    <xf numFmtId="0" fontId="49" fillId="10" borderId="2" xfId="0" applyFont="1" applyFill="1" applyBorder="1" applyAlignment="1">
      <alignment horizontal="left" vertical="center"/>
    </xf>
    <xf numFmtId="0" fontId="49" fillId="10" borderId="10" xfId="0" applyFont="1" applyFill="1" applyBorder="1" applyAlignment="1">
      <alignment horizontal="left" vertical="center"/>
    </xf>
    <xf numFmtId="0" fontId="59" fillId="0" borderId="0" xfId="0" applyFont="1" applyAlignment="1">
      <alignment horizontal="center"/>
    </xf>
    <xf numFmtId="0" fontId="52" fillId="0" borderId="0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50" fillId="10" borderId="1" xfId="0" applyFont="1" applyFill="1" applyBorder="1" applyAlignment="1" applyProtection="1">
      <alignment vertical="center"/>
      <protection locked="0"/>
    </xf>
    <xf numFmtId="0" fontId="50" fillId="10" borderId="6" xfId="0" applyFont="1" applyFill="1" applyBorder="1" applyAlignment="1" applyProtection="1">
      <alignment vertical="center"/>
      <protection locked="0"/>
    </xf>
    <xf numFmtId="0" fontId="43" fillId="10" borderId="6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43" fillId="9" borderId="7" xfId="0" applyFont="1" applyFill="1" applyBorder="1" applyAlignment="1">
      <alignment horizontal="center" vertical="center"/>
    </xf>
    <xf numFmtId="0" fontId="43" fillId="9" borderId="3" xfId="0" applyFont="1" applyFill="1" applyBorder="1" applyAlignment="1">
      <alignment horizontal="center" vertical="center"/>
    </xf>
    <xf numFmtId="0" fontId="43" fillId="9" borderId="8" xfId="0" applyFont="1" applyFill="1" applyBorder="1" applyAlignment="1">
      <alignment horizontal="center" vertical="center"/>
    </xf>
    <xf numFmtId="0" fontId="43" fillId="9" borderId="11" xfId="0" applyFont="1" applyFill="1" applyBorder="1" applyAlignment="1">
      <alignment horizontal="center" vertical="center"/>
    </xf>
    <xf numFmtId="0" fontId="43" fillId="9" borderId="0" xfId="0" applyFont="1" applyFill="1" applyBorder="1" applyAlignment="1">
      <alignment horizontal="center" vertical="center"/>
    </xf>
    <xf numFmtId="0" fontId="43" fillId="9" borderId="12" xfId="0" applyFont="1" applyFill="1" applyBorder="1" applyAlignment="1">
      <alignment horizontal="center" vertical="center"/>
    </xf>
    <xf numFmtId="0" fontId="43" fillId="9" borderId="9" xfId="0" applyFont="1" applyFill="1" applyBorder="1" applyAlignment="1">
      <alignment horizontal="center" vertical="center"/>
    </xf>
    <xf numFmtId="0" fontId="43" fillId="9" borderId="2" xfId="0" applyFont="1" applyFill="1" applyBorder="1" applyAlignment="1">
      <alignment horizontal="center" vertical="center"/>
    </xf>
    <xf numFmtId="0" fontId="43" fillId="9" borderId="10" xfId="0" applyFont="1" applyFill="1" applyBorder="1" applyAlignment="1">
      <alignment horizontal="center" vertical="center"/>
    </xf>
    <xf numFmtId="49" fontId="6" fillId="9" borderId="5" xfId="5" applyNumberFormat="1" applyFont="1" applyFill="1" applyBorder="1" applyAlignment="1">
      <alignment horizontal="center" vertical="center" wrapText="1"/>
    </xf>
    <xf numFmtId="49" fontId="6" fillId="9" borderId="1" xfId="5" applyNumberFormat="1" applyFont="1" applyFill="1" applyBorder="1" applyAlignment="1">
      <alignment horizontal="center" vertical="center" wrapText="1"/>
    </xf>
    <xf numFmtId="49" fontId="6" fillId="9" borderId="6" xfId="5" applyNumberFormat="1" applyFont="1" applyFill="1" applyBorder="1" applyAlignment="1">
      <alignment horizontal="center" vertical="center" wrapText="1"/>
    </xf>
    <xf numFmtId="0" fontId="11" fillId="6" borderId="13" xfId="5" applyFont="1" applyFill="1" applyBorder="1" applyAlignment="1">
      <alignment horizontal="right" vertical="center" wrapText="1"/>
    </xf>
    <xf numFmtId="0" fontId="11" fillId="6" borderId="14" xfId="5" applyFont="1" applyFill="1" applyBorder="1" applyAlignment="1">
      <alignment horizontal="right" vertical="center" wrapText="1"/>
    </xf>
    <xf numFmtId="4" fontId="11" fillId="6" borderId="13" xfId="4" applyNumberFormat="1" applyFont="1" applyFill="1" applyBorder="1" applyAlignment="1">
      <alignment horizontal="right" vertical="center" wrapText="1"/>
    </xf>
    <xf numFmtId="4" fontId="11" fillId="6" borderId="14" xfId="4" applyNumberFormat="1" applyFont="1" applyFill="1" applyBorder="1" applyAlignment="1">
      <alignment horizontal="right" vertical="center" wrapText="1"/>
    </xf>
    <xf numFmtId="0" fontId="11" fillId="6" borderId="5" xfId="5" applyFont="1" applyFill="1" applyBorder="1" applyAlignment="1">
      <alignment horizontal="center" vertical="center" wrapText="1"/>
    </xf>
    <xf numFmtId="0" fontId="11" fillId="6" borderId="6" xfId="5" applyFont="1" applyFill="1" applyBorder="1" applyAlignment="1">
      <alignment horizontal="center" vertical="center" wrapText="1"/>
    </xf>
    <xf numFmtId="0" fontId="11" fillId="6" borderId="13" xfId="5" applyFont="1" applyFill="1" applyBorder="1" applyAlignment="1">
      <alignment horizontal="center" vertical="center" wrapText="1"/>
    </xf>
    <xf numFmtId="0" fontId="11" fillId="6" borderId="14" xfId="5" applyFont="1" applyFill="1" applyBorder="1" applyAlignment="1">
      <alignment horizontal="center" vertical="center" wrapText="1"/>
    </xf>
  </cellXfs>
  <cellStyles count="6">
    <cellStyle name="Bad" xfId="1" builtinId="27"/>
    <cellStyle name="Comma" xfId="4" builtinId="3"/>
    <cellStyle name="Good" xfId="2" builtinId="26"/>
    <cellStyle name="Neutral" xfId="3" builtinId="28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379"/>
  <sheetViews>
    <sheetView showGridLines="0" tabSelected="1" topLeftCell="A2361" zoomScaleNormal="100" workbookViewId="0">
      <selection activeCell="H2375" sqref="H2375"/>
    </sheetView>
  </sheetViews>
  <sheetFormatPr defaultRowHeight="14.25" x14ac:dyDescent="0.2"/>
  <cols>
    <col min="1" max="1" width="4.140625" style="303" customWidth="1"/>
    <col min="2" max="2" width="3.28515625" style="303" bestFit="1" customWidth="1"/>
    <col min="3" max="3" width="5.42578125" style="304" bestFit="1" customWidth="1"/>
    <col min="4" max="4" width="5.42578125" style="303" customWidth="1"/>
    <col min="5" max="5" width="9.5703125" style="305" customWidth="1"/>
    <col min="6" max="6" width="6" style="304" customWidth="1"/>
    <col min="7" max="7" width="7.85546875" style="303" customWidth="1"/>
    <col min="8" max="8" width="54.5703125" style="306" customWidth="1"/>
    <col min="9" max="9" width="17" style="307" customWidth="1"/>
    <col min="10" max="10" width="18.42578125" style="307" customWidth="1"/>
    <col min="11" max="11" width="18" style="307" customWidth="1"/>
    <col min="12" max="12" width="14.85546875" style="26" bestFit="1" customWidth="1"/>
    <col min="13" max="13" width="17.42578125" style="1223" customWidth="1"/>
    <col min="14" max="14" width="17.28515625" style="34" bestFit="1" customWidth="1"/>
    <col min="15" max="15" width="18" style="34" bestFit="1" customWidth="1"/>
    <col min="16" max="5185" width="9.140625" style="14"/>
    <col min="5186" max="5204" width="9.140625" style="14" customWidth="1"/>
    <col min="5205" max="16384" width="9.140625" style="14"/>
  </cols>
  <sheetData>
    <row r="2" spans="1:16" x14ac:dyDescent="0.2">
      <c r="A2" s="893"/>
      <c r="B2" s="642"/>
      <c r="C2" s="642"/>
      <c r="D2" s="642"/>
      <c r="E2" s="642"/>
      <c r="F2" s="642" t="s">
        <v>1151</v>
      </c>
      <c r="G2" s="737"/>
      <c r="H2" s="745"/>
      <c r="I2" s="737"/>
      <c r="J2" s="737"/>
      <c r="K2" s="737"/>
      <c r="L2" s="737"/>
      <c r="M2" s="1220"/>
      <c r="N2" s="447"/>
      <c r="O2" s="299"/>
      <c r="P2" s="299"/>
    </row>
    <row r="3" spans="1:16" x14ac:dyDescent="0.2">
      <c r="A3" s="642" t="s">
        <v>1152</v>
      </c>
      <c r="B3" s="642"/>
      <c r="C3" s="642"/>
      <c r="D3" s="642"/>
      <c r="E3" s="642"/>
      <c r="F3" s="642"/>
      <c r="G3" s="737"/>
      <c r="H3" s="745"/>
      <c r="I3" s="737"/>
      <c r="J3" s="737"/>
      <c r="K3" s="737"/>
      <c r="L3" s="737"/>
      <c r="M3" s="1220"/>
      <c r="N3" s="447"/>
      <c r="O3" s="299"/>
      <c r="P3" s="299"/>
    </row>
    <row r="4" spans="1:16" x14ac:dyDescent="0.2">
      <c r="A4" s="642" t="s">
        <v>1153</v>
      </c>
      <c r="B4" s="642"/>
      <c r="C4" s="642"/>
      <c r="D4" s="642"/>
      <c r="E4" s="642"/>
      <c r="F4" s="642"/>
      <c r="G4" s="737"/>
      <c r="H4" s="746"/>
      <c r="I4" s="747"/>
      <c r="J4" s="747"/>
      <c r="K4" s="737"/>
      <c r="L4" s="737"/>
      <c r="M4" s="1220"/>
      <c r="N4" s="447"/>
      <c r="O4" s="299"/>
      <c r="P4" s="299"/>
    </row>
    <row r="5" spans="1:16" x14ac:dyDescent="0.2">
      <c r="A5" s="642"/>
      <c r="B5" s="642"/>
      <c r="C5" s="642"/>
      <c r="D5" s="642"/>
      <c r="E5" s="642"/>
      <c r="F5" s="642"/>
      <c r="G5" s="737"/>
      <c r="H5" s="745"/>
      <c r="I5" s="737"/>
      <c r="J5" s="737"/>
      <c r="K5" s="737"/>
      <c r="L5" s="737"/>
      <c r="M5" s="1220"/>
      <c r="N5" s="447"/>
      <c r="O5" s="299"/>
      <c r="P5" s="299"/>
    </row>
    <row r="6" spans="1:16" x14ac:dyDescent="0.2">
      <c r="A6" s="642"/>
      <c r="B6" s="642"/>
      <c r="C6" s="642"/>
      <c r="D6" s="642"/>
      <c r="E6" s="642"/>
      <c r="F6" s="642" t="s">
        <v>1191</v>
      </c>
      <c r="G6" s="737"/>
      <c r="H6" s="745"/>
      <c r="I6" s="737"/>
      <c r="J6" s="737"/>
      <c r="K6" s="737"/>
      <c r="L6" s="737"/>
      <c r="M6" s="1220"/>
      <c r="N6" s="447"/>
      <c r="O6" s="299"/>
      <c r="P6" s="299"/>
    </row>
    <row r="7" spans="1:16" x14ac:dyDescent="0.2">
      <c r="A7" s="14"/>
      <c r="B7" s="14"/>
      <c r="C7" s="14"/>
      <c r="D7" s="14"/>
      <c r="E7" s="14"/>
      <c r="F7" s="14"/>
      <c r="G7" s="299"/>
      <c r="H7" s="308"/>
      <c r="I7" s="264"/>
      <c r="J7" s="264"/>
      <c r="K7" s="264"/>
      <c r="L7" s="299"/>
      <c r="M7" s="1220"/>
      <c r="N7" s="447"/>
      <c r="O7" s="299"/>
      <c r="P7" s="299"/>
    </row>
    <row r="8" spans="1:16" x14ac:dyDescent="0.2">
      <c r="A8" s="14"/>
      <c r="B8" s="14"/>
      <c r="C8" s="14"/>
      <c r="D8" s="14"/>
      <c r="E8" s="14"/>
      <c r="F8" s="14"/>
      <c r="G8" s="299"/>
      <c r="H8" s="308"/>
      <c r="I8" s="264"/>
      <c r="J8" s="264"/>
      <c r="K8" s="264"/>
      <c r="L8" s="299"/>
      <c r="M8" s="1220"/>
      <c r="N8" s="447"/>
      <c r="O8" s="299"/>
      <c r="P8" s="299"/>
    </row>
    <row r="9" spans="1:16" s="732" customFormat="1" ht="18.75" x14ac:dyDescent="0.3">
      <c r="A9" s="1414" t="s">
        <v>232</v>
      </c>
      <c r="B9" s="1414"/>
      <c r="C9" s="1414"/>
      <c r="D9" s="1414"/>
      <c r="E9" s="1414"/>
      <c r="F9" s="1414"/>
      <c r="G9" s="1414"/>
      <c r="H9" s="1414"/>
      <c r="I9" s="1414"/>
      <c r="J9" s="1414"/>
      <c r="K9" s="1414"/>
      <c r="L9" s="1414"/>
      <c r="M9" s="1220"/>
      <c r="N9" s="1343"/>
    </row>
    <row r="10" spans="1:16" s="732" customFormat="1" ht="18.75" x14ac:dyDescent="0.3">
      <c r="A10" s="1414" t="s">
        <v>1036</v>
      </c>
      <c r="B10" s="1414"/>
      <c r="C10" s="1414"/>
      <c r="D10" s="1414"/>
      <c r="E10" s="1414"/>
      <c r="F10" s="1414"/>
      <c r="G10" s="1414"/>
      <c r="H10" s="1414"/>
      <c r="I10" s="1414"/>
      <c r="J10" s="1414"/>
      <c r="K10" s="1414"/>
      <c r="L10" s="1414"/>
      <c r="M10" s="1220"/>
      <c r="N10" s="1343"/>
    </row>
    <row r="11" spans="1:16" s="662" customFormat="1" ht="15" x14ac:dyDescent="0.25">
      <c r="A11" s="642"/>
      <c r="B11" s="642"/>
      <c r="C11" s="642"/>
      <c r="D11" s="642"/>
      <c r="E11" s="642"/>
      <c r="F11" s="642"/>
      <c r="G11" s="737"/>
      <c r="H11" s="738"/>
      <c r="I11" s="739"/>
      <c r="J11" s="739"/>
      <c r="K11" s="646"/>
      <c r="M11" s="1220"/>
      <c r="N11" s="1344"/>
    </row>
    <row r="12" spans="1:16" s="662" customFormat="1" ht="18" x14ac:dyDescent="0.25">
      <c r="A12" s="1415" t="s">
        <v>269</v>
      </c>
      <c r="B12" s="1415"/>
      <c r="C12" s="1415"/>
      <c r="D12" s="1415"/>
      <c r="E12" s="1415"/>
      <c r="F12" s="1415"/>
      <c r="G12" s="1415"/>
      <c r="H12" s="1415"/>
      <c r="I12" s="1415"/>
      <c r="J12" s="1415"/>
      <c r="K12" s="1415"/>
      <c r="L12" s="1415"/>
      <c r="M12" s="1220"/>
      <c r="N12" s="1344"/>
    </row>
    <row r="13" spans="1:16" s="662" customFormat="1" ht="15" x14ac:dyDescent="0.25">
      <c r="A13" s="733"/>
      <c r="B13" s="733"/>
      <c r="C13" s="733"/>
      <c r="D13" s="733"/>
      <c r="E13" s="733"/>
      <c r="F13" s="733"/>
      <c r="G13" s="733"/>
      <c r="H13" s="733"/>
      <c r="I13" s="733"/>
      <c r="J13" s="733"/>
      <c r="K13" s="733"/>
      <c r="M13" s="1220"/>
      <c r="N13" s="1344"/>
    </row>
    <row r="14" spans="1:16" s="1249" customFormat="1" ht="15" x14ac:dyDescent="0.25">
      <c r="A14" s="1416" t="s">
        <v>233</v>
      </c>
      <c r="B14" s="1416"/>
      <c r="C14" s="1416"/>
      <c r="D14" s="1416"/>
      <c r="E14" s="1416"/>
      <c r="F14" s="1416"/>
      <c r="G14" s="1416"/>
      <c r="H14" s="1416"/>
      <c r="I14" s="1416"/>
      <c r="J14" s="1416"/>
      <c r="K14" s="1416"/>
      <c r="L14" s="1416"/>
      <c r="M14" s="1220"/>
      <c r="N14" s="1345"/>
    </row>
    <row r="15" spans="1:16" s="662" customFormat="1" ht="15" x14ac:dyDescent="0.25">
      <c r="A15" s="733"/>
      <c r="B15" s="733"/>
      <c r="C15" s="733"/>
      <c r="D15" s="733"/>
      <c r="E15" s="733"/>
      <c r="F15" s="733"/>
      <c r="G15" s="733"/>
      <c r="H15" s="733"/>
      <c r="I15" s="733"/>
      <c r="J15" s="733"/>
      <c r="K15" s="733"/>
      <c r="L15" s="740"/>
      <c r="M15" s="1220"/>
      <c r="N15" s="1344"/>
    </row>
    <row r="16" spans="1:16" s="662" customFormat="1" ht="15" x14ac:dyDescent="0.25">
      <c r="A16" s="896"/>
      <c r="B16" s="896"/>
      <c r="C16" s="896"/>
      <c r="D16" s="896" t="s">
        <v>1183</v>
      </c>
      <c r="E16" s="896"/>
      <c r="F16" s="896"/>
      <c r="G16" s="747"/>
      <c r="H16" s="1328"/>
      <c r="I16" s="1329"/>
      <c r="J16" s="1329"/>
      <c r="K16" s="1330"/>
      <c r="L16" s="1331"/>
      <c r="M16" s="1220"/>
      <c r="N16" s="1344"/>
    </row>
    <row r="17" spans="1:15" s="662" customFormat="1" ht="15" x14ac:dyDescent="0.25">
      <c r="A17" s="896" t="s">
        <v>1184</v>
      </c>
      <c r="B17" s="896"/>
      <c r="C17" s="896"/>
      <c r="D17" s="747"/>
      <c r="E17" s="1328"/>
      <c r="F17" s="1329"/>
      <c r="G17" s="1329"/>
      <c r="H17" s="1330"/>
      <c r="I17" s="1331"/>
      <c r="J17" s="729"/>
      <c r="K17" s="729"/>
      <c r="L17" s="729"/>
      <c r="M17" s="1220"/>
      <c r="N17" s="1344"/>
    </row>
    <row r="18" spans="1:15" s="662" customFormat="1" ht="15" x14ac:dyDescent="0.25">
      <c r="A18" s="642"/>
      <c r="B18" s="642"/>
      <c r="C18" s="642"/>
      <c r="D18" s="642"/>
      <c r="E18" s="642"/>
      <c r="F18" s="642"/>
      <c r="G18" s="737"/>
      <c r="H18" s="738"/>
      <c r="I18" s="739"/>
      <c r="J18" s="739"/>
      <c r="K18" s="646"/>
      <c r="L18" s="740"/>
      <c r="M18" s="1220"/>
      <c r="N18" s="1344"/>
    </row>
    <row r="19" spans="1:15" s="1249" customFormat="1" ht="15" x14ac:dyDescent="0.25">
      <c r="A19" s="1416" t="s">
        <v>1024</v>
      </c>
      <c r="B19" s="1416"/>
      <c r="C19" s="1416"/>
      <c r="D19" s="1416"/>
      <c r="E19" s="1416"/>
      <c r="F19" s="1416"/>
      <c r="G19" s="1416"/>
      <c r="H19" s="1416"/>
      <c r="I19" s="1416"/>
      <c r="J19" s="1416"/>
      <c r="K19" s="1416"/>
      <c r="L19" s="1416"/>
      <c r="M19" s="1220"/>
      <c r="N19" s="1345"/>
    </row>
    <row r="20" spans="1:15" s="662" customFormat="1" ht="15" x14ac:dyDescent="0.25">
      <c r="A20" s="733"/>
      <c r="B20" s="733"/>
      <c r="C20" s="733"/>
      <c r="D20" s="733"/>
      <c r="E20" s="733"/>
      <c r="F20" s="733"/>
      <c r="G20" s="734"/>
      <c r="H20" s="735"/>
      <c r="I20" s="736"/>
      <c r="J20" s="736"/>
      <c r="K20" s="646"/>
      <c r="L20" s="740"/>
      <c r="M20" s="1220"/>
      <c r="N20" s="1344"/>
    </row>
    <row r="21" spans="1:15" s="729" customFormat="1" ht="15" x14ac:dyDescent="0.25">
      <c r="A21" s="896"/>
      <c r="B21" s="896"/>
      <c r="C21" s="896"/>
      <c r="D21" s="896" t="s">
        <v>1185</v>
      </c>
      <c r="E21" s="896"/>
      <c r="F21" s="896"/>
      <c r="G21" s="747"/>
      <c r="H21" s="1328"/>
      <c r="I21" s="1329"/>
      <c r="J21" s="1329"/>
      <c r="K21" s="1330"/>
      <c r="L21" s="1331"/>
      <c r="M21" s="1231"/>
      <c r="N21" s="1346"/>
    </row>
    <row r="22" spans="1:15" s="662" customFormat="1" ht="15" x14ac:dyDescent="0.25">
      <c r="A22" s="741"/>
      <c r="B22" s="741"/>
      <c r="C22" s="741"/>
      <c r="D22" s="741"/>
      <c r="E22" s="741"/>
      <c r="F22" s="741"/>
      <c r="G22" s="742"/>
      <c r="H22" s="743"/>
      <c r="I22" s="744"/>
      <c r="J22" s="744"/>
      <c r="K22" s="646"/>
      <c r="L22" s="740"/>
      <c r="M22" s="1220"/>
      <c r="N22" s="1344"/>
    </row>
    <row r="23" spans="1:15" s="1249" customFormat="1" ht="15" x14ac:dyDescent="0.25">
      <c r="A23" s="1416" t="s">
        <v>1025</v>
      </c>
      <c r="B23" s="1416"/>
      <c r="C23" s="1416"/>
      <c r="D23" s="1416"/>
      <c r="E23" s="1416"/>
      <c r="F23" s="1416"/>
      <c r="G23" s="1416"/>
      <c r="H23" s="1416"/>
      <c r="I23" s="1416"/>
      <c r="J23" s="1416"/>
      <c r="K23" s="1416"/>
      <c r="L23" s="1416"/>
      <c r="M23" s="1220"/>
      <c r="N23" s="1345"/>
    </row>
    <row r="24" spans="1:15" s="662" customFormat="1" ht="15.75" customHeight="1" x14ac:dyDescent="0.25">
      <c r="A24" s="733"/>
      <c r="B24" s="733"/>
      <c r="C24" s="733"/>
      <c r="D24" s="733"/>
      <c r="E24" s="733"/>
      <c r="F24" s="733"/>
      <c r="G24" s="734"/>
      <c r="H24" s="735"/>
      <c r="I24" s="736"/>
      <c r="J24" s="736"/>
      <c r="K24" s="646"/>
      <c r="L24" s="740"/>
      <c r="M24" s="1220"/>
      <c r="N24" s="1344"/>
    </row>
    <row r="25" spans="1:15" s="662" customFormat="1" ht="16.5" customHeight="1" x14ac:dyDescent="0.25">
      <c r="A25" s="741"/>
      <c r="B25" s="741"/>
      <c r="C25" s="741"/>
      <c r="D25" s="741" t="s">
        <v>1026</v>
      </c>
      <c r="E25" s="741"/>
      <c r="F25" s="741"/>
      <c r="G25" s="742"/>
      <c r="H25" s="743"/>
      <c r="I25" s="744"/>
      <c r="J25" s="744"/>
      <c r="K25" s="646"/>
      <c r="L25" s="740"/>
      <c r="M25" s="1220"/>
      <c r="N25" s="1344"/>
    </row>
    <row r="26" spans="1:15" s="662" customFormat="1" ht="15.75" customHeight="1" x14ac:dyDescent="0.25">
      <c r="A26" s="741" t="s">
        <v>930</v>
      </c>
      <c r="B26" s="741"/>
      <c r="C26" s="741"/>
      <c r="D26" s="741"/>
      <c r="E26" s="741"/>
      <c r="F26" s="741"/>
      <c r="G26" s="742"/>
      <c r="H26" s="743"/>
      <c r="I26" s="744"/>
      <c r="J26" s="744"/>
      <c r="K26" s="646"/>
      <c r="L26" s="740"/>
      <c r="M26" s="1220"/>
      <c r="N26" s="1344"/>
    </row>
    <row r="27" spans="1:15" s="262" customFormat="1" ht="15" x14ac:dyDescent="0.25">
      <c r="A27" s="303"/>
      <c r="B27" s="303"/>
      <c r="C27" s="304"/>
      <c r="D27" s="303"/>
      <c r="E27" s="305"/>
      <c r="F27" s="304"/>
      <c r="G27" s="303"/>
      <c r="H27" s="306"/>
      <c r="I27" s="307"/>
      <c r="J27" s="307"/>
      <c r="K27" s="307"/>
      <c r="L27" s="26"/>
      <c r="M27" s="1220"/>
      <c r="N27" s="1347"/>
    </row>
    <row r="28" spans="1:15" s="262" customFormat="1" ht="59.25" x14ac:dyDescent="0.25">
      <c r="A28" s="560"/>
      <c r="B28" s="561"/>
      <c r="C28" s="562"/>
      <c r="D28" s="563"/>
      <c r="E28" s="562"/>
      <c r="F28" s="561"/>
      <c r="G28" s="564" t="s">
        <v>0</v>
      </c>
      <c r="H28" s="565" t="s">
        <v>167</v>
      </c>
      <c r="I28" s="566" t="s">
        <v>933</v>
      </c>
      <c r="J28" s="566" t="s">
        <v>1083</v>
      </c>
      <c r="K28" s="567" t="s">
        <v>402</v>
      </c>
      <c r="L28" s="26"/>
      <c r="M28" s="1220"/>
      <c r="N28" s="1347"/>
    </row>
    <row r="29" spans="1:15" s="262" customFormat="1" ht="15" x14ac:dyDescent="0.25">
      <c r="A29" s="1368">
        <v>1</v>
      </c>
      <c r="B29" s="1369"/>
      <c r="C29" s="1369"/>
      <c r="D29" s="1369"/>
      <c r="E29" s="1369"/>
      <c r="F29" s="1370"/>
      <c r="G29" s="568">
        <v>2</v>
      </c>
      <c r="H29" s="569">
        <v>3</v>
      </c>
      <c r="I29" s="570">
        <v>4</v>
      </c>
      <c r="J29" s="570">
        <v>5</v>
      </c>
      <c r="K29" s="570">
        <v>6</v>
      </c>
      <c r="L29" s="315"/>
      <c r="M29" s="1221"/>
      <c r="N29" s="1347"/>
    </row>
    <row r="30" spans="1:15" s="262" customFormat="1" ht="15" x14ac:dyDescent="0.25">
      <c r="A30" s="571"/>
      <c r="B30" s="572"/>
      <c r="C30" s="84">
        <v>711</v>
      </c>
      <c r="D30" s="84"/>
      <c r="E30" s="573"/>
      <c r="F30" s="260"/>
      <c r="G30" s="84"/>
      <c r="H30" s="86" t="s">
        <v>168</v>
      </c>
      <c r="I30" s="210">
        <f>SUM(I31:I36)</f>
        <v>1117000000</v>
      </c>
      <c r="J30" s="210"/>
      <c r="K30" s="211">
        <f t="shared" ref="K30:K41" si="0">SUM(I30+J30)</f>
        <v>1117000000</v>
      </c>
      <c r="L30" s="316"/>
      <c r="M30" s="1221">
        <f>K30/$K$90*100</f>
        <v>24.049630514136748</v>
      </c>
      <c r="N30" s="1347"/>
    </row>
    <row r="31" spans="1:15" x14ac:dyDescent="0.2">
      <c r="A31" s="574"/>
      <c r="B31" s="575"/>
      <c r="C31" s="41"/>
      <c r="D31" s="576"/>
      <c r="E31" s="45"/>
      <c r="F31" s="41"/>
      <c r="G31" s="88">
        <v>711110</v>
      </c>
      <c r="H31" s="89" t="s">
        <v>169</v>
      </c>
      <c r="I31" s="160">
        <v>800000000</v>
      </c>
      <c r="J31" s="160"/>
      <c r="K31" s="160">
        <f t="shared" si="0"/>
        <v>800000000</v>
      </c>
      <c r="L31" s="316"/>
    </row>
    <row r="32" spans="1:15" s="308" customFormat="1" ht="18" customHeight="1" x14ac:dyDescent="0.2">
      <c r="A32" s="577"/>
      <c r="B32" s="578"/>
      <c r="C32" s="1"/>
      <c r="D32" s="579"/>
      <c r="E32" s="38"/>
      <c r="F32" s="1"/>
      <c r="G32" s="88">
        <v>711120</v>
      </c>
      <c r="H32" s="90" t="s">
        <v>170</v>
      </c>
      <c r="I32" s="160">
        <v>150000000</v>
      </c>
      <c r="J32" s="160"/>
      <c r="K32" s="160">
        <f t="shared" si="0"/>
        <v>150000000</v>
      </c>
      <c r="L32" s="316"/>
      <c r="M32" s="1223"/>
      <c r="N32" s="318"/>
      <c r="O32" s="318"/>
    </row>
    <row r="33" spans="1:15" s="320" customFormat="1" x14ac:dyDescent="0.2">
      <c r="A33" s="577"/>
      <c r="B33" s="578"/>
      <c r="C33" s="1"/>
      <c r="D33" s="579"/>
      <c r="E33" s="38"/>
      <c r="F33" s="1"/>
      <c r="G33" s="88">
        <v>711140</v>
      </c>
      <c r="H33" s="90" t="s">
        <v>171</v>
      </c>
      <c r="I33" s="160">
        <v>10000000</v>
      </c>
      <c r="J33" s="160"/>
      <c r="K33" s="160">
        <f t="shared" si="0"/>
        <v>10000000</v>
      </c>
      <c r="L33" s="316"/>
      <c r="M33" s="1227"/>
      <c r="N33" s="319"/>
      <c r="O33" s="319"/>
    </row>
    <row r="34" spans="1:15" x14ac:dyDescent="0.2">
      <c r="A34" s="580"/>
      <c r="B34" s="581"/>
      <c r="C34" s="42"/>
      <c r="D34" s="582"/>
      <c r="E34" s="43"/>
      <c r="F34" s="42"/>
      <c r="G34" s="88">
        <v>711160</v>
      </c>
      <c r="H34" s="90" t="s">
        <v>172</v>
      </c>
      <c r="I34" s="160">
        <v>1000000</v>
      </c>
      <c r="J34" s="160"/>
      <c r="K34" s="160">
        <f t="shared" si="0"/>
        <v>1000000</v>
      </c>
      <c r="L34" s="316"/>
    </row>
    <row r="35" spans="1:15" x14ac:dyDescent="0.2">
      <c r="A35" s="577"/>
      <c r="B35" s="578"/>
      <c r="C35" s="1"/>
      <c r="D35" s="579"/>
      <c r="E35" s="38"/>
      <c r="F35" s="1"/>
      <c r="G35" s="583">
        <v>711180</v>
      </c>
      <c r="H35" s="93" t="s">
        <v>173</v>
      </c>
      <c r="I35" s="242">
        <v>6000000</v>
      </c>
      <c r="J35" s="242"/>
      <c r="K35" s="242">
        <f t="shared" si="0"/>
        <v>6000000</v>
      </c>
      <c r="L35" s="316"/>
    </row>
    <row r="36" spans="1:15" x14ac:dyDescent="0.2">
      <c r="A36" s="580"/>
      <c r="B36" s="581"/>
      <c r="C36" s="42"/>
      <c r="D36" s="582"/>
      <c r="E36" s="43"/>
      <c r="F36" s="42"/>
      <c r="G36" s="88">
        <v>711190</v>
      </c>
      <c r="H36" s="90" t="s">
        <v>174</v>
      </c>
      <c r="I36" s="160">
        <v>150000000</v>
      </c>
      <c r="J36" s="160"/>
      <c r="K36" s="160">
        <f t="shared" si="0"/>
        <v>150000000</v>
      </c>
      <c r="L36" s="316"/>
    </row>
    <row r="37" spans="1:15" x14ac:dyDescent="0.2">
      <c r="A37" s="584"/>
      <c r="B37" s="87"/>
      <c r="C37" s="84">
        <v>713</v>
      </c>
      <c r="D37" s="84"/>
      <c r="E37" s="573"/>
      <c r="F37" s="84"/>
      <c r="G37" s="572"/>
      <c r="H37" s="585" t="s">
        <v>175</v>
      </c>
      <c r="I37" s="210">
        <f>SUM(I38:I41)</f>
        <v>615853000</v>
      </c>
      <c r="J37" s="210"/>
      <c r="K37" s="211">
        <f t="shared" si="0"/>
        <v>615853000</v>
      </c>
      <c r="L37" s="316"/>
      <c r="M37" s="1221">
        <f>K37/$K$90*100</f>
        <v>13.25965720771948</v>
      </c>
    </row>
    <row r="38" spans="1:15" x14ac:dyDescent="0.2">
      <c r="A38" s="577"/>
      <c r="B38" s="578"/>
      <c r="C38" s="1"/>
      <c r="D38" s="579"/>
      <c r="E38" s="38"/>
      <c r="F38" s="1"/>
      <c r="G38" s="88">
        <v>713120</v>
      </c>
      <c r="H38" s="90" t="s">
        <v>176</v>
      </c>
      <c r="I38" s="160">
        <v>420753000</v>
      </c>
      <c r="J38" s="160"/>
      <c r="K38" s="160">
        <f t="shared" si="0"/>
        <v>420753000</v>
      </c>
      <c r="L38" s="316"/>
    </row>
    <row r="39" spans="1:15" x14ac:dyDescent="0.2">
      <c r="A39" s="577"/>
      <c r="B39" s="578"/>
      <c r="C39" s="1"/>
      <c r="D39" s="579"/>
      <c r="E39" s="38"/>
      <c r="F39" s="1"/>
      <c r="G39" s="88">
        <v>713310</v>
      </c>
      <c r="H39" s="90" t="s">
        <v>177</v>
      </c>
      <c r="I39" s="160">
        <v>15000000</v>
      </c>
      <c r="J39" s="160"/>
      <c r="K39" s="160">
        <f t="shared" si="0"/>
        <v>15000000</v>
      </c>
      <c r="L39" s="316"/>
    </row>
    <row r="40" spans="1:15" x14ac:dyDescent="0.2">
      <c r="A40" s="577"/>
      <c r="B40" s="578"/>
      <c r="C40" s="1"/>
      <c r="D40" s="579"/>
      <c r="E40" s="38"/>
      <c r="F40" s="1"/>
      <c r="G40" s="88">
        <v>713420</v>
      </c>
      <c r="H40" s="90" t="s">
        <v>178</v>
      </c>
      <c r="I40" s="160">
        <v>180000000</v>
      </c>
      <c r="J40" s="160"/>
      <c r="K40" s="160">
        <f t="shared" si="0"/>
        <v>180000000</v>
      </c>
      <c r="L40" s="316"/>
    </row>
    <row r="41" spans="1:15" x14ac:dyDescent="0.2">
      <c r="A41" s="577"/>
      <c r="B41" s="578"/>
      <c r="C41" s="1"/>
      <c r="D41" s="579"/>
      <c r="E41" s="38"/>
      <c r="F41" s="1"/>
      <c r="G41" s="88">
        <v>713610</v>
      </c>
      <c r="H41" s="90" t="s">
        <v>179</v>
      </c>
      <c r="I41" s="160">
        <v>100000</v>
      </c>
      <c r="J41" s="160"/>
      <c r="K41" s="160">
        <f t="shared" si="0"/>
        <v>100000</v>
      </c>
    </row>
    <row r="42" spans="1:15" x14ac:dyDescent="0.2">
      <c r="A42" s="584"/>
      <c r="B42" s="87"/>
      <c r="C42" s="84">
        <v>714</v>
      </c>
      <c r="D42" s="84"/>
      <c r="E42" s="573"/>
      <c r="F42" s="84"/>
      <c r="G42" s="85"/>
      <c r="H42" s="585" t="s">
        <v>180</v>
      </c>
      <c r="I42" s="210">
        <f>SUM(I43:I49)</f>
        <v>177100000</v>
      </c>
      <c r="J42" s="210"/>
      <c r="K42" s="211">
        <f t="shared" ref="K42:K62" si="1">SUM(I42:J42)</f>
        <v>177100000</v>
      </c>
      <c r="L42" s="316"/>
      <c r="M42" s="1221">
        <f>K42/$K$90*100</f>
        <v>3.8130613823219499</v>
      </c>
    </row>
    <row r="43" spans="1:15" ht="22.5" x14ac:dyDescent="0.2">
      <c r="A43" s="589"/>
      <c r="B43" s="590"/>
      <c r="C43" s="591"/>
      <c r="D43" s="591"/>
      <c r="E43" s="592"/>
      <c r="F43" s="591"/>
      <c r="G43" s="593">
        <v>714420</v>
      </c>
      <c r="H43" s="285" t="s">
        <v>1172</v>
      </c>
      <c r="I43" s="187">
        <v>100000</v>
      </c>
      <c r="J43" s="188"/>
      <c r="K43" s="160">
        <f t="shared" si="1"/>
        <v>100000</v>
      </c>
      <c r="L43" s="316"/>
      <c r="M43" s="1221"/>
    </row>
    <row r="44" spans="1:15" x14ac:dyDescent="0.2">
      <c r="A44" s="586"/>
      <c r="B44" s="578"/>
      <c r="C44" s="39"/>
      <c r="D44" s="39"/>
      <c r="E44" s="506"/>
      <c r="F44" s="39"/>
      <c r="G44" s="88">
        <v>714430</v>
      </c>
      <c r="H44" s="90" t="s">
        <v>181</v>
      </c>
      <c r="I44" s="160">
        <v>5000000</v>
      </c>
      <c r="J44" s="160"/>
      <c r="K44" s="160">
        <f t="shared" si="1"/>
        <v>5000000</v>
      </c>
    </row>
    <row r="45" spans="1:15" x14ac:dyDescent="0.2">
      <c r="A45" s="577"/>
      <c r="B45" s="578"/>
      <c r="C45" s="1"/>
      <c r="D45" s="579"/>
      <c r="E45" s="38"/>
      <c r="F45" s="1"/>
      <c r="G45" s="88">
        <v>714510</v>
      </c>
      <c r="H45" s="89" t="s">
        <v>182</v>
      </c>
      <c r="I45" s="187">
        <v>80000000</v>
      </c>
      <c r="J45" s="160"/>
      <c r="K45" s="160">
        <f t="shared" si="1"/>
        <v>80000000</v>
      </c>
    </row>
    <row r="46" spans="1:15" x14ac:dyDescent="0.2">
      <c r="A46" s="577"/>
      <c r="B46" s="578"/>
      <c r="C46" s="1"/>
      <c r="D46" s="579"/>
      <c r="E46" s="38"/>
      <c r="F46" s="1"/>
      <c r="G46" s="88">
        <v>714540</v>
      </c>
      <c r="H46" s="89" t="s">
        <v>183</v>
      </c>
      <c r="I46" s="160">
        <v>10000000</v>
      </c>
      <c r="J46" s="160"/>
      <c r="K46" s="160">
        <f t="shared" si="1"/>
        <v>10000000</v>
      </c>
    </row>
    <row r="47" spans="1:15" x14ac:dyDescent="0.2">
      <c r="A47" s="577"/>
      <c r="B47" s="578"/>
      <c r="C47" s="1"/>
      <c r="D47" s="579"/>
      <c r="E47" s="38"/>
      <c r="F47" s="1"/>
      <c r="G47" s="88">
        <v>714550</v>
      </c>
      <c r="H47" s="89" t="s">
        <v>184</v>
      </c>
      <c r="I47" s="160">
        <v>1000000</v>
      </c>
      <c r="J47" s="160"/>
      <c r="K47" s="160">
        <f t="shared" si="1"/>
        <v>1000000</v>
      </c>
    </row>
    <row r="48" spans="1:15" x14ac:dyDescent="0.2">
      <c r="A48" s="577"/>
      <c r="B48" s="578"/>
      <c r="C48" s="1"/>
      <c r="D48" s="579"/>
      <c r="E48" s="38"/>
      <c r="F48" s="1"/>
      <c r="G48" s="88">
        <v>714560</v>
      </c>
      <c r="H48" s="89" t="s">
        <v>185</v>
      </c>
      <c r="I48" s="160">
        <v>80000000</v>
      </c>
      <c r="J48" s="160"/>
      <c r="K48" s="160">
        <f t="shared" si="1"/>
        <v>80000000</v>
      </c>
    </row>
    <row r="49" spans="1:13" x14ac:dyDescent="0.2">
      <c r="A49" s="577"/>
      <c r="B49" s="578"/>
      <c r="C49" s="1"/>
      <c r="D49" s="579"/>
      <c r="E49" s="38"/>
      <c r="F49" s="1"/>
      <c r="G49" s="88">
        <v>714570</v>
      </c>
      <c r="H49" s="89" t="s">
        <v>186</v>
      </c>
      <c r="I49" s="160">
        <v>1000000</v>
      </c>
      <c r="J49" s="160"/>
      <c r="K49" s="160">
        <f t="shared" si="1"/>
        <v>1000000</v>
      </c>
    </row>
    <row r="50" spans="1:13" x14ac:dyDescent="0.2">
      <c r="A50" s="584"/>
      <c r="B50" s="87"/>
      <c r="C50" s="84">
        <v>716</v>
      </c>
      <c r="D50" s="84"/>
      <c r="E50" s="573"/>
      <c r="F50" s="84"/>
      <c r="G50" s="85"/>
      <c r="H50" s="86" t="s">
        <v>187</v>
      </c>
      <c r="I50" s="210">
        <f>SUM(I51)</f>
        <v>80000000</v>
      </c>
      <c r="J50" s="210"/>
      <c r="K50" s="211">
        <f t="shared" si="1"/>
        <v>80000000</v>
      </c>
      <c r="L50" s="316"/>
      <c r="M50" s="1221">
        <f>K50/$K$90*100</f>
        <v>1.7224444414780122</v>
      </c>
    </row>
    <row r="51" spans="1:13" x14ac:dyDescent="0.2">
      <c r="A51" s="587"/>
      <c r="B51" s="83"/>
      <c r="C51" s="57"/>
      <c r="D51" s="91"/>
      <c r="E51" s="58"/>
      <c r="F51" s="57"/>
      <c r="G51" s="88">
        <v>716110</v>
      </c>
      <c r="H51" s="89" t="s">
        <v>188</v>
      </c>
      <c r="I51" s="160">
        <v>80000000</v>
      </c>
      <c r="J51" s="160"/>
      <c r="K51" s="160">
        <f t="shared" si="1"/>
        <v>80000000</v>
      </c>
    </row>
    <row r="52" spans="1:13" x14ac:dyDescent="0.2">
      <c r="A52" s="588"/>
      <c r="B52" s="87"/>
      <c r="C52" s="84">
        <v>732</v>
      </c>
      <c r="D52" s="84"/>
      <c r="E52" s="573"/>
      <c r="F52" s="260"/>
      <c r="G52" s="85"/>
      <c r="H52" s="86" t="s">
        <v>189</v>
      </c>
      <c r="I52" s="210">
        <f>SUM(I53:I54)</f>
        <v>19925000</v>
      </c>
      <c r="J52" s="210"/>
      <c r="K52" s="211">
        <f t="shared" si="1"/>
        <v>19925000</v>
      </c>
      <c r="L52" s="316"/>
      <c r="M52" s="1221">
        <f>K52/$K$90*100</f>
        <v>0.42899631870561744</v>
      </c>
    </row>
    <row r="53" spans="1:13" x14ac:dyDescent="0.2">
      <c r="A53" s="577"/>
      <c r="B53" s="578"/>
      <c r="C53" s="1"/>
      <c r="D53" s="579"/>
      <c r="E53" s="38"/>
      <c r="F53" s="1"/>
      <c r="G53" s="88">
        <v>732150</v>
      </c>
      <c r="H53" s="89" t="s">
        <v>190</v>
      </c>
      <c r="I53" s="160">
        <v>15112500</v>
      </c>
      <c r="J53" s="160"/>
      <c r="K53" s="160">
        <f t="shared" si="1"/>
        <v>15112500</v>
      </c>
    </row>
    <row r="54" spans="1:13" x14ac:dyDescent="0.2">
      <c r="A54" s="577"/>
      <c r="B54" s="578"/>
      <c r="C54" s="1"/>
      <c r="D54" s="579"/>
      <c r="E54" s="38"/>
      <c r="F54" s="1"/>
      <c r="G54" s="88">
        <v>732250</v>
      </c>
      <c r="H54" s="89" t="s">
        <v>191</v>
      </c>
      <c r="I54" s="160">
        <v>4812500</v>
      </c>
      <c r="J54" s="160"/>
      <c r="K54" s="160">
        <f>SUM(I54:J54)</f>
        <v>4812500</v>
      </c>
    </row>
    <row r="55" spans="1:13" x14ac:dyDescent="0.2">
      <c r="A55" s="584"/>
      <c r="B55" s="87"/>
      <c r="C55" s="84">
        <v>733</v>
      </c>
      <c r="D55" s="84"/>
      <c r="E55" s="573"/>
      <c r="F55" s="84"/>
      <c r="G55" s="85"/>
      <c r="H55" s="86" t="s">
        <v>192</v>
      </c>
      <c r="I55" s="210">
        <f>SUM(I56:I57)</f>
        <v>840035648.89999998</v>
      </c>
      <c r="J55" s="210">
        <f>SUM(J56:J57)</f>
        <v>11000000</v>
      </c>
      <c r="K55" s="211">
        <f t="shared" si="1"/>
        <v>851035648.89999998</v>
      </c>
      <c r="L55" s="316"/>
      <c r="M55" s="1221">
        <f>K55/$K$90*100</f>
        <v>18.32327028684298</v>
      </c>
    </row>
    <row r="56" spans="1:13" x14ac:dyDescent="0.2">
      <c r="A56" s="577"/>
      <c r="B56" s="578"/>
      <c r="C56" s="1"/>
      <c r="D56" s="579"/>
      <c r="E56" s="38"/>
      <c r="F56" s="1"/>
      <c r="G56" s="88">
        <v>733150</v>
      </c>
      <c r="H56" s="89" t="s">
        <v>508</v>
      </c>
      <c r="I56" s="160">
        <f>400000000-100000000</f>
        <v>300000000</v>
      </c>
      <c r="J56" s="160">
        <v>11000000</v>
      </c>
      <c r="K56" s="160">
        <f t="shared" si="1"/>
        <v>311000000</v>
      </c>
    </row>
    <row r="57" spans="1:13" x14ac:dyDescent="0.2">
      <c r="A57" s="577"/>
      <c r="B57" s="578"/>
      <c r="C57" s="1"/>
      <c r="D57" s="579"/>
      <c r="E57" s="38"/>
      <c r="F57" s="1"/>
      <c r="G57" s="88">
        <v>733250</v>
      </c>
      <c r="H57" s="89" t="s">
        <v>403</v>
      </c>
      <c r="I57" s="160">
        <f>799838648.9-407000+40604000-100000000-200000000</f>
        <v>540035648.89999998</v>
      </c>
      <c r="J57" s="160"/>
      <c r="K57" s="160">
        <f t="shared" si="1"/>
        <v>540035648.89999998</v>
      </c>
    </row>
    <row r="58" spans="1:13" x14ac:dyDescent="0.2">
      <c r="A58" s="584"/>
      <c r="B58" s="87"/>
      <c r="C58" s="84">
        <v>741</v>
      </c>
      <c r="D58" s="84"/>
      <c r="E58" s="573"/>
      <c r="F58" s="84" t="s">
        <v>193</v>
      </c>
      <c r="G58" s="85"/>
      <c r="H58" s="86" t="s">
        <v>194</v>
      </c>
      <c r="I58" s="210">
        <f>SUM(I59:I62)</f>
        <v>400650000</v>
      </c>
      <c r="J58" s="210"/>
      <c r="K58" s="211">
        <f t="shared" si="1"/>
        <v>400650000</v>
      </c>
      <c r="L58" s="316"/>
      <c r="M58" s="1221">
        <f>K58/$K$90*100</f>
        <v>8.6262170684770716</v>
      </c>
    </row>
    <row r="59" spans="1:13" x14ac:dyDescent="0.2">
      <c r="A59" s="586"/>
      <c r="B59" s="578"/>
      <c r="C59" s="39"/>
      <c r="D59" s="39"/>
      <c r="E59" s="506"/>
      <c r="F59" s="39"/>
      <c r="G59" s="88">
        <v>741150</v>
      </c>
      <c r="H59" s="89" t="s">
        <v>195</v>
      </c>
      <c r="I59" s="160">
        <v>150000</v>
      </c>
      <c r="J59" s="160"/>
      <c r="K59" s="160">
        <f t="shared" si="1"/>
        <v>150000</v>
      </c>
    </row>
    <row r="60" spans="1:13" x14ac:dyDescent="0.2">
      <c r="A60" s="586"/>
      <c r="B60" s="578"/>
      <c r="C60" s="39"/>
      <c r="D60" s="39"/>
      <c r="E60" s="506"/>
      <c r="F60" s="39"/>
      <c r="G60" s="88">
        <v>741510</v>
      </c>
      <c r="H60" s="89" t="s">
        <v>1173</v>
      </c>
      <c r="I60" s="160">
        <v>500000</v>
      </c>
      <c r="J60" s="160"/>
      <c r="K60" s="160">
        <f t="shared" si="1"/>
        <v>500000</v>
      </c>
    </row>
    <row r="61" spans="1:13" x14ac:dyDescent="0.2">
      <c r="A61" s="577"/>
      <c r="B61" s="578"/>
      <c r="C61" s="1"/>
      <c r="D61" s="579"/>
      <c r="E61" s="38"/>
      <c r="F61" s="1"/>
      <c r="G61" s="88">
        <v>741520</v>
      </c>
      <c r="H61" s="89" t="s">
        <v>196</v>
      </c>
      <c r="I61" s="160">
        <v>200000000</v>
      </c>
      <c r="J61" s="160"/>
      <c r="K61" s="160">
        <f t="shared" si="1"/>
        <v>200000000</v>
      </c>
      <c r="M61" s="1230"/>
    </row>
    <row r="62" spans="1:13" x14ac:dyDescent="0.2">
      <c r="A62" s="577"/>
      <c r="B62" s="578"/>
      <c r="C62" s="1"/>
      <c r="D62" s="579"/>
      <c r="E62" s="38"/>
      <c r="F62" s="1"/>
      <c r="G62" s="88">
        <v>741530</v>
      </c>
      <c r="H62" s="89" t="s">
        <v>197</v>
      </c>
      <c r="I62" s="187">
        <v>200000000</v>
      </c>
      <c r="J62" s="160"/>
      <c r="K62" s="160">
        <f t="shared" si="1"/>
        <v>200000000</v>
      </c>
      <c r="M62" s="1228"/>
    </row>
    <row r="63" spans="1:13" x14ac:dyDescent="0.2">
      <c r="A63" s="584"/>
      <c r="B63" s="87"/>
      <c r="C63" s="84">
        <v>742</v>
      </c>
      <c r="D63" s="84"/>
      <c r="E63" s="573"/>
      <c r="F63" s="84"/>
      <c r="G63" s="85"/>
      <c r="H63" s="86" t="s">
        <v>198</v>
      </c>
      <c r="I63" s="210">
        <f>SUM(I64:I68)</f>
        <v>306600000</v>
      </c>
      <c r="J63" s="210">
        <f>SUM(J65:J68)</f>
        <v>9000000</v>
      </c>
      <c r="K63" s="211">
        <f>SUM(I63:J63)</f>
        <v>315600000</v>
      </c>
      <c r="L63" s="316"/>
      <c r="M63" s="1221">
        <f>K63/$K$90*100</f>
        <v>6.7950433216307591</v>
      </c>
    </row>
    <row r="64" spans="1:13" ht="22.5" x14ac:dyDescent="0.2">
      <c r="A64" s="589"/>
      <c r="B64" s="590"/>
      <c r="C64" s="591"/>
      <c r="D64" s="591"/>
      <c r="E64" s="592"/>
      <c r="F64" s="591"/>
      <c r="G64" s="593">
        <v>742120</v>
      </c>
      <c r="H64" s="594" t="s">
        <v>801</v>
      </c>
      <c r="I64" s="187">
        <v>11500000</v>
      </c>
      <c r="J64" s="188"/>
      <c r="K64" s="187">
        <f>SUM(I64:J64)</f>
        <v>11500000</v>
      </c>
      <c r="L64" s="325"/>
    </row>
    <row r="65" spans="1:15" ht="22.5" x14ac:dyDescent="0.2">
      <c r="A65" s="586"/>
      <c r="B65" s="578"/>
      <c r="C65" s="39"/>
      <c r="D65" s="39"/>
      <c r="E65" s="506"/>
      <c r="F65" s="39"/>
      <c r="G65" s="88">
        <v>742150</v>
      </c>
      <c r="H65" s="18" t="s">
        <v>931</v>
      </c>
      <c r="I65" s="595">
        <v>95000000</v>
      </c>
      <c r="J65" s="160">
        <v>7000000</v>
      </c>
      <c r="K65" s="160">
        <f t="shared" ref="K65:K78" si="2">SUM(I65:J65)</f>
        <v>102000000</v>
      </c>
    </row>
    <row r="66" spans="1:15" x14ac:dyDescent="0.2">
      <c r="A66" s="577"/>
      <c r="B66" s="578"/>
      <c r="C66" s="1"/>
      <c r="D66" s="579"/>
      <c r="E66" s="38"/>
      <c r="F66" s="1"/>
      <c r="G66" s="88">
        <v>742250</v>
      </c>
      <c r="H66" s="89" t="s">
        <v>199</v>
      </c>
      <c r="I66" s="187">
        <v>200000000</v>
      </c>
      <c r="J66" s="160"/>
      <c r="K66" s="160">
        <f t="shared" si="2"/>
        <v>200000000</v>
      </c>
    </row>
    <row r="67" spans="1:15" ht="22.5" x14ac:dyDescent="0.2">
      <c r="A67" s="577"/>
      <c r="B67" s="578"/>
      <c r="C67" s="1"/>
      <c r="D67" s="579"/>
      <c r="E67" s="38"/>
      <c r="F67" s="1"/>
      <c r="G67" s="88">
        <v>742350</v>
      </c>
      <c r="H67" s="18" t="s">
        <v>404</v>
      </c>
      <c r="I67" s="187">
        <v>100000</v>
      </c>
      <c r="J67" s="160"/>
      <c r="K67" s="160">
        <f t="shared" si="2"/>
        <v>100000</v>
      </c>
    </row>
    <row r="68" spans="1:15" s="327" customFormat="1" ht="22.5" x14ac:dyDescent="0.2">
      <c r="A68" s="577"/>
      <c r="B68" s="578"/>
      <c r="C68" s="1"/>
      <c r="D68" s="579"/>
      <c r="E68" s="38"/>
      <c r="F68" s="1"/>
      <c r="G68" s="88">
        <v>742370</v>
      </c>
      <c r="H68" s="18" t="s">
        <v>487</v>
      </c>
      <c r="I68" s="187"/>
      <c r="J68" s="160">
        <f>2000000</f>
        <v>2000000</v>
      </c>
      <c r="K68" s="160">
        <f t="shared" si="2"/>
        <v>2000000</v>
      </c>
      <c r="L68" s="26"/>
      <c r="M68" s="1225"/>
      <c r="N68" s="326"/>
      <c r="O68" s="326"/>
    </row>
    <row r="69" spans="1:15" ht="15" customHeight="1" x14ac:dyDescent="0.2">
      <c r="A69" s="584"/>
      <c r="B69" s="87"/>
      <c r="C69" s="84">
        <v>743</v>
      </c>
      <c r="D69" s="84"/>
      <c r="E69" s="573"/>
      <c r="F69" s="84"/>
      <c r="G69" s="85"/>
      <c r="H69" s="86" t="s">
        <v>200</v>
      </c>
      <c r="I69" s="210">
        <f>SUM(I70:I72)</f>
        <v>17950000</v>
      </c>
      <c r="J69" s="210"/>
      <c r="K69" s="211">
        <f t="shared" si="2"/>
        <v>17950000</v>
      </c>
      <c r="L69" s="316"/>
      <c r="M69" s="1221">
        <f>K69/$K$90*100</f>
        <v>0.38647347155662903</v>
      </c>
    </row>
    <row r="70" spans="1:15" x14ac:dyDescent="0.2">
      <c r="A70" s="586"/>
      <c r="B70" s="578"/>
      <c r="C70" s="39"/>
      <c r="D70" s="39"/>
      <c r="E70" s="506"/>
      <c r="F70" s="39"/>
      <c r="G70" s="88">
        <v>743320</v>
      </c>
      <c r="H70" s="89" t="s">
        <v>405</v>
      </c>
      <c r="I70" s="187">
        <v>10000000</v>
      </c>
      <c r="J70" s="160"/>
      <c r="K70" s="160">
        <f t="shared" si="2"/>
        <v>10000000</v>
      </c>
    </row>
    <row r="71" spans="1:15" x14ac:dyDescent="0.2">
      <c r="A71" s="577"/>
      <c r="B71" s="578"/>
      <c r="C71" s="1"/>
      <c r="D71" s="579"/>
      <c r="E71" s="38"/>
      <c r="F71" s="1"/>
      <c r="G71" s="88">
        <v>743350</v>
      </c>
      <c r="H71" s="89" t="s">
        <v>201</v>
      </c>
      <c r="I71" s="187">
        <v>6450000</v>
      </c>
      <c r="J71" s="160"/>
      <c r="K71" s="160">
        <f t="shared" si="2"/>
        <v>6450000</v>
      </c>
    </row>
    <row r="72" spans="1:15" ht="22.5" x14ac:dyDescent="0.2">
      <c r="A72" s="577"/>
      <c r="B72" s="578"/>
      <c r="C72" s="1"/>
      <c r="D72" s="579"/>
      <c r="E72" s="38"/>
      <c r="F72" s="1"/>
      <c r="G72" s="88">
        <v>743920</v>
      </c>
      <c r="H72" s="18" t="s">
        <v>523</v>
      </c>
      <c r="I72" s="187">
        <v>1500000</v>
      </c>
      <c r="J72" s="160"/>
      <c r="K72" s="160">
        <f t="shared" si="2"/>
        <v>1500000</v>
      </c>
    </row>
    <row r="73" spans="1:15" x14ac:dyDescent="0.2">
      <c r="A73" s="588"/>
      <c r="B73" s="87"/>
      <c r="C73" s="84">
        <v>744</v>
      </c>
      <c r="D73" s="92"/>
      <c r="E73" s="259"/>
      <c r="F73" s="260"/>
      <c r="G73" s="85"/>
      <c r="H73" s="86" t="s">
        <v>488</v>
      </c>
      <c r="I73" s="210"/>
      <c r="J73" s="210">
        <f>SUM(J74)</f>
        <v>300000</v>
      </c>
      <c r="K73" s="211">
        <f t="shared" si="2"/>
        <v>300000</v>
      </c>
      <c r="L73" s="316"/>
      <c r="M73" s="1221">
        <f>K73/$K$90*100</f>
        <v>6.4591666555425462E-3</v>
      </c>
    </row>
    <row r="74" spans="1:15" ht="22.5" x14ac:dyDescent="0.2">
      <c r="A74" s="577"/>
      <c r="B74" s="578"/>
      <c r="C74" s="1"/>
      <c r="D74" s="579"/>
      <c r="E74" s="38"/>
      <c r="F74" s="1"/>
      <c r="G74" s="583">
        <v>744150</v>
      </c>
      <c r="H74" s="596" t="s">
        <v>489</v>
      </c>
      <c r="I74" s="597"/>
      <c r="J74" s="242">
        <v>300000</v>
      </c>
      <c r="K74" s="242">
        <f t="shared" si="2"/>
        <v>300000</v>
      </c>
    </row>
    <row r="75" spans="1:15" x14ac:dyDescent="0.2">
      <c r="A75" s="584"/>
      <c r="B75" s="87"/>
      <c r="C75" s="84">
        <v>745</v>
      </c>
      <c r="D75" s="84"/>
      <c r="E75" s="573"/>
      <c r="F75" s="84"/>
      <c r="G75" s="85"/>
      <c r="H75" s="86" t="s">
        <v>202</v>
      </c>
      <c r="I75" s="210">
        <f>SUM(I76)</f>
        <v>50735000</v>
      </c>
      <c r="J75" s="210">
        <f>SUM(J76)</f>
        <v>405000</v>
      </c>
      <c r="K75" s="211">
        <f t="shared" si="2"/>
        <v>51140000</v>
      </c>
      <c r="L75" s="316"/>
      <c r="M75" s="1221">
        <f>K75/$K$90*100</f>
        <v>1.1010726092148193</v>
      </c>
    </row>
    <row r="76" spans="1:15" x14ac:dyDescent="0.2">
      <c r="A76" s="577"/>
      <c r="B76" s="578"/>
      <c r="C76" s="1"/>
      <c r="D76" s="579"/>
      <c r="E76" s="38"/>
      <c r="F76" s="1"/>
      <c r="G76" s="583">
        <v>745150</v>
      </c>
      <c r="H76" s="598" t="s">
        <v>406</v>
      </c>
      <c r="I76" s="597">
        <v>50735000</v>
      </c>
      <c r="J76" s="242">
        <v>405000</v>
      </c>
      <c r="K76" s="242">
        <f t="shared" si="2"/>
        <v>51140000</v>
      </c>
    </row>
    <row r="77" spans="1:15" x14ac:dyDescent="0.2">
      <c r="A77" s="588"/>
      <c r="B77" s="87"/>
      <c r="C77" s="84">
        <v>771</v>
      </c>
      <c r="D77" s="92"/>
      <c r="E77" s="259"/>
      <c r="F77" s="260"/>
      <c r="G77" s="85"/>
      <c r="H77" s="86" t="s">
        <v>485</v>
      </c>
      <c r="I77" s="210"/>
      <c r="J77" s="210">
        <f>SUM(J78)</f>
        <v>3807800</v>
      </c>
      <c r="K77" s="211">
        <f t="shared" si="2"/>
        <v>3807800</v>
      </c>
      <c r="L77" s="316"/>
      <c r="M77" s="1221">
        <f>K77/$K$90*100</f>
        <v>8.1984049303249693E-2</v>
      </c>
    </row>
    <row r="78" spans="1:15" x14ac:dyDescent="0.2">
      <c r="A78" s="587"/>
      <c r="B78" s="83"/>
      <c r="C78" s="57"/>
      <c r="D78" s="91"/>
      <c r="E78" s="58"/>
      <c r="F78" s="57"/>
      <c r="G78" s="88">
        <v>771110</v>
      </c>
      <c r="H78" s="90" t="s">
        <v>486</v>
      </c>
      <c r="I78" s="187"/>
      <c r="J78" s="160">
        <v>3807800</v>
      </c>
      <c r="K78" s="160">
        <f t="shared" si="2"/>
        <v>3807800</v>
      </c>
      <c r="L78" s="298"/>
    </row>
    <row r="79" spans="1:15" x14ac:dyDescent="0.2">
      <c r="A79" s="588"/>
      <c r="B79" s="87"/>
      <c r="C79" s="84">
        <v>811</v>
      </c>
      <c r="D79" s="92"/>
      <c r="E79" s="259"/>
      <c r="F79" s="260"/>
      <c r="G79" s="85"/>
      <c r="H79" s="86" t="s">
        <v>1054</v>
      </c>
      <c r="I79" s="210">
        <f>SUM(I80)</f>
        <v>3400000</v>
      </c>
      <c r="J79" s="210"/>
      <c r="K79" s="211">
        <f>SUM(I79:J79)</f>
        <v>3400000</v>
      </c>
      <c r="L79" s="316"/>
      <c r="M79" s="1221">
        <f>K79/$K$90*100</f>
        <v>7.3203888762815528E-2</v>
      </c>
    </row>
    <row r="80" spans="1:15" x14ac:dyDescent="0.2">
      <c r="A80" s="587"/>
      <c r="B80" s="83"/>
      <c r="C80" s="57"/>
      <c r="D80" s="91"/>
      <c r="E80" s="58"/>
      <c r="F80" s="57"/>
      <c r="G80" s="88">
        <v>811150</v>
      </c>
      <c r="H80" s="90" t="s">
        <v>1053</v>
      </c>
      <c r="I80" s="187">
        <v>3400000</v>
      </c>
      <c r="J80" s="160"/>
      <c r="K80" s="160">
        <f>SUM(I80:J80)</f>
        <v>3400000</v>
      </c>
      <c r="L80" s="298"/>
    </row>
    <row r="81" spans="1:15" x14ac:dyDescent="0.2">
      <c r="A81" s="587"/>
      <c r="B81" s="83"/>
      <c r="C81" s="460">
        <v>812</v>
      </c>
      <c r="D81" s="91"/>
      <c r="E81" s="58"/>
      <c r="F81" s="57"/>
      <c r="G81" s="456"/>
      <c r="H81" s="86" t="s">
        <v>1079</v>
      </c>
      <c r="I81" s="188">
        <f>SUM(I82)</f>
        <v>831000</v>
      </c>
      <c r="J81" s="160"/>
      <c r="K81" s="161">
        <f>SUM(I81:J81)</f>
        <v>831000</v>
      </c>
      <c r="L81" s="298"/>
      <c r="M81" s="1221">
        <f>K81/$K$90*100</f>
        <v>1.7891891635852853E-2</v>
      </c>
    </row>
    <row r="82" spans="1:15" x14ac:dyDescent="0.2">
      <c r="A82" s="587"/>
      <c r="B82" s="83"/>
      <c r="C82" s="57"/>
      <c r="D82" s="91"/>
      <c r="E82" s="58"/>
      <c r="F82" s="57"/>
      <c r="G82" s="456">
        <v>812150</v>
      </c>
      <c r="H82" s="90" t="s">
        <v>1080</v>
      </c>
      <c r="I82" s="187">
        <v>831000</v>
      </c>
      <c r="J82" s="160"/>
      <c r="K82" s="160">
        <f>SUM(I82:J82)</f>
        <v>831000</v>
      </c>
      <c r="L82" s="298"/>
    </row>
    <row r="83" spans="1:15" x14ac:dyDescent="0.2">
      <c r="A83" s="588"/>
      <c r="B83" s="87"/>
      <c r="C83" s="84">
        <v>823</v>
      </c>
      <c r="D83" s="92"/>
      <c r="E83" s="259"/>
      <c r="F83" s="260"/>
      <c r="G83" s="85"/>
      <c r="H83" s="585" t="s">
        <v>490</v>
      </c>
      <c r="I83" s="210"/>
      <c r="J83" s="210">
        <f>SUM(J84)</f>
        <v>4720000</v>
      </c>
      <c r="K83" s="211">
        <f t="shared" ref="K83:K86" si="3">SUM(I83:J83)</f>
        <v>4720000</v>
      </c>
      <c r="L83" s="316"/>
      <c r="M83" s="1221">
        <f>K83/$K$90*100</f>
        <v>0.10162422204720273</v>
      </c>
    </row>
    <row r="84" spans="1:15" x14ac:dyDescent="0.2">
      <c r="A84" s="577"/>
      <c r="B84" s="578"/>
      <c r="C84" s="1"/>
      <c r="D84" s="579"/>
      <c r="E84" s="38"/>
      <c r="F84" s="1"/>
      <c r="G84" s="94">
        <v>823150</v>
      </c>
      <c r="H84" s="599" t="s">
        <v>491</v>
      </c>
      <c r="I84" s="600"/>
      <c r="J84" s="601">
        <v>4720000</v>
      </c>
      <c r="K84" s="601">
        <f t="shared" si="3"/>
        <v>4720000</v>
      </c>
    </row>
    <row r="85" spans="1:15" x14ac:dyDescent="0.2">
      <c r="A85" s="588"/>
      <c r="B85" s="87"/>
      <c r="C85" s="84">
        <v>841</v>
      </c>
      <c r="D85" s="84"/>
      <c r="E85" s="573"/>
      <c r="F85" s="260"/>
      <c r="G85" s="85"/>
      <c r="H85" s="585" t="s">
        <v>203</v>
      </c>
      <c r="I85" s="210">
        <f>SUM(I86)</f>
        <v>517123200</v>
      </c>
      <c r="J85" s="210"/>
      <c r="K85" s="211">
        <f t="shared" si="3"/>
        <v>517123200</v>
      </c>
      <c r="L85" s="316"/>
      <c r="M85" s="1221">
        <f>K85/$K$90*100</f>
        <v>11.133949767491531</v>
      </c>
    </row>
    <row r="86" spans="1:15" x14ac:dyDescent="0.2">
      <c r="A86" s="587"/>
      <c r="B86" s="83"/>
      <c r="C86" s="57"/>
      <c r="D86" s="91"/>
      <c r="E86" s="58"/>
      <c r="F86" s="124"/>
      <c r="G86" s="88">
        <v>841150</v>
      </c>
      <c r="H86" s="90" t="s">
        <v>230</v>
      </c>
      <c r="I86" s="187">
        <f>850000000-276908800-1210000+600000+1000-57959000+2600000</f>
        <v>517123200</v>
      </c>
      <c r="J86" s="160"/>
      <c r="K86" s="160">
        <f t="shared" si="3"/>
        <v>517123200</v>
      </c>
    </row>
    <row r="87" spans="1:15" x14ac:dyDescent="0.2">
      <c r="A87" s="602"/>
      <c r="B87" s="603"/>
      <c r="C87" s="604">
        <v>911</v>
      </c>
      <c r="D87" s="605"/>
      <c r="E87" s="606"/>
      <c r="F87" s="607"/>
      <c r="G87" s="85"/>
      <c r="H87" s="585" t="s">
        <v>1006</v>
      </c>
      <c r="I87" s="210">
        <f>SUM(I88)</f>
        <v>468126351.10000002</v>
      </c>
      <c r="J87" s="608"/>
      <c r="K87" s="211">
        <f>SUM(I87:J87)</f>
        <v>468126351.10000002</v>
      </c>
      <c r="L87" s="316"/>
      <c r="M87" s="1221">
        <f>K87/$K$90*100</f>
        <v>10.079020392019743</v>
      </c>
    </row>
    <row r="88" spans="1:15" ht="22.5" x14ac:dyDescent="0.2">
      <c r="A88" s="587"/>
      <c r="B88" s="83"/>
      <c r="C88" s="57"/>
      <c r="D88" s="91"/>
      <c r="E88" s="58"/>
      <c r="F88" s="57"/>
      <c r="G88" s="88">
        <v>911450</v>
      </c>
      <c r="H88" s="17" t="s">
        <v>1005</v>
      </c>
      <c r="I88" s="187">
        <v>468126351.10000002</v>
      </c>
      <c r="J88" s="160"/>
      <c r="K88" s="160">
        <f>SUM(I88:J88)</f>
        <v>468126351.10000002</v>
      </c>
      <c r="N88" s="326"/>
    </row>
    <row r="89" spans="1:15" x14ac:dyDescent="0.2">
      <c r="A89" s="577"/>
      <c r="B89" s="578"/>
      <c r="C89" s="1"/>
      <c r="D89" s="579"/>
      <c r="E89" s="38"/>
      <c r="F89" s="1"/>
      <c r="G89" s="40"/>
      <c r="H89" s="609"/>
      <c r="I89" s="610"/>
      <c r="J89" s="611"/>
      <c r="K89" s="611"/>
    </row>
    <row r="90" spans="1:15" ht="15" customHeight="1" x14ac:dyDescent="0.2">
      <c r="A90" s="612"/>
      <c r="B90" s="613"/>
      <c r="C90" s="614"/>
      <c r="D90" s="613"/>
      <c r="E90" s="615"/>
      <c r="F90" s="614"/>
      <c r="G90" s="613"/>
      <c r="H90" s="616" t="s">
        <v>204</v>
      </c>
      <c r="I90" s="617">
        <f>SUM(I30+I37+I42+I50+I52+I55+I58+I63+I69+I75+I85+I77+I73+I83+I87+I79+I81)</f>
        <v>4615329200</v>
      </c>
      <c r="J90" s="617">
        <f>SUM(J30+J37+J42+J50+J52+J55+J58+J63+J69+J75+J85+J77+J73+J83+J87+J79)</f>
        <v>29232800</v>
      </c>
      <c r="K90" s="618">
        <f>SUM(I90:J90)</f>
        <v>4644562000</v>
      </c>
      <c r="L90" s="66"/>
      <c r="M90" s="1232">
        <f>SUM(M30:M87)</f>
        <v>100.00000000000001</v>
      </c>
    </row>
    <row r="91" spans="1:15" x14ac:dyDescent="0.2">
      <c r="A91" s="322"/>
      <c r="B91" s="322"/>
      <c r="C91" s="323"/>
      <c r="D91" s="322"/>
      <c r="E91" s="324"/>
      <c r="F91" s="323"/>
      <c r="G91" s="322"/>
      <c r="H91" s="70"/>
      <c r="I91" s="328"/>
      <c r="J91" s="328"/>
      <c r="K91" s="225"/>
      <c r="L91" s="204"/>
    </row>
    <row r="92" spans="1:15" s="330" customFormat="1" x14ac:dyDescent="0.2">
      <c r="A92" s="322"/>
      <c r="B92" s="322"/>
      <c r="C92" s="323"/>
      <c r="D92" s="322"/>
      <c r="E92" s="324"/>
      <c r="F92" s="323"/>
      <c r="G92" s="322"/>
      <c r="H92" s="70"/>
      <c r="I92" s="226"/>
      <c r="J92" s="226"/>
      <c r="K92" s="226"/>
      <c r="L92" s="204"/>
      <c r="M92" s="863"/>
      <c r="N92" s="329"/>
      <c r="O92" s="329"/>
    </row>
    <row r="93" spans="1:15" ht="105" x14ac:dyDescent="0.2">
      <c r="A93" s="619"/>
      <c r="B93" s="616"/>
      <c r="C93" s="620"/>
      <c r="D93" s="616"/>
      <c r="E93" s="621"/>
      <c r="F93" s="620"/>
      <c r="G93" s="622" t="s">
        <v>0</v>
      </c>
      <c r="H93" s="623" t="s">
        <v>1</v>
      </c>
      <c r="I93" s="624" t="s">
        <v>207</v>
      </c>
      <c r="J93" s="625" t="s">
        <v>356</v>
      </c>
      <c r="K93" s="626" t="s">
        <v>208</v>
      </c>
    </row>
    <row r="94" spans="1:15" x14ac:dyDescent="0.2">
      <c r="A94" s="627"/>
      <c r="B94" s="628"/>
      <c r="C94" s="629"/>
      <c r="D94" s="628"/>
      <c r="E94" s="630"/>
      <c r="F94" s="629"/>
      <c r="G94" s="631">
        <v>1</v>
      </c>
      <c r="H94" s="632">
        <v>2</v>
      </c>
      <c r="I94" s="633">
        <v>3</v>
      </c>
      <c r="J94" s="633">
        <v>4</v>
      </c>
      <c r="K94" s="633">
        <v>5</v>
      </c>
      <c r="L94" s="315"/>
    </row>
    <row r="95" spans="1:15" s="16" customFormat="1" ht="15" x14ac:dyDescent="0.25">
      <c r="A95" s="577"/>
      <c r="B95" s="578"/>
      <c r="C95" s="1"/>
      <c r="D95" s="579"/>
      <c r="E95" s="38"/>
      <c r="F95" s="1"/>
      <c r="G95" s="634">
        <v>41</v>
      </c>
      <c r="H95" s="635" t="s">
        <v>209</v>
      </c>
      <c r="I95" s="162">
        <f>SUM(I96:I101)</f>
        <v>323725009</v>
      </c>
      <c r="J95" s="162">
        <f>SUM(J96:J101)</f>
        <v>14588000</v>
      </c>
      <c r="K95" s="162">
        <f>SUM(I95:J95)</f>
        <v>338313009</v>
      </c>
      <c r="L95" s="316"/>
      <c r="M95" s="906">
        <f>K95/$K$143*100</f>
        <v>7.2840670228968838</v>
      </c>
      <c r="N95" s="53"/>
      <c r="O95" s="53"/>
    </row>
    <row r="96" spans="1:15" x14ac:dyDescent="0.2">
      <c r="A96" s="577"/>
      <c r="B96" s="578"/>
      <c r="C96" s="1"/>
      <c r="D96" s="579"/>
      <c r="E96" s="38"/>
      <c r="F96" s="1"/>
      <c r="G96" s="95">
        <v>411</v>
      </c>
      <c r="H96" s="90" t="s">
        <v>2</v>
      </c>
      <c r="I96" s="160">
        <f>SUMIF($G$267:$G$2352,411,(I$267:I$2352))</f>
        <v>234771843</v>
      </c>
      <c r="J96" s="160">
        <f>SUMIF($G$267:$G$2352,411,(J$267:J$2352))</f>
        <v>100085</v>
      </c>
      <c r="K96" s="160">
        <f>SUMIF($G$267:$G$2352,411,(K$267:K$2352))</f>
        <v>234871928</v>
      </c>
      <c r="M96" s="1229"/>
      <c r="N96" s="216"/>
    </row>
    <row r="97" spans="1:15" s="308" customFormat="1" ht="12" x14ac:dyDescent="0.2">
      <c r="A97" s="577"/>
      <c r="B97" s="578"/>
      <c r="C97" s="1"/>
      <c r="D97" s="579"/>
      <c r="E97" s="38"/>
      <c r="F97" s="1"/>
      <c r="G97" s="95">
        <v>412</v>
      </c>
      <c r="H97" s="89" t="s">
        <v>3</v>
      </c>
      <c r="I97" s="160">
        <f>SUMIF($G$267:$G$2352,412,(I$267:I$2352))</f>
        <v>42024157</v>
      </c>
      <c r="J97" s="160">
        <f>SUMIF($G$267:$G$2352,412,(J$267:J$2352))</f>
        <v>17915</v>
      </c>
      <c r="K97" s="160">
        <f>SUMIF($G$267:$G$2352,412,(K$267:K$2352))</f>
        <v>42042072</v>
      </c>
      <c r="L97" s="26"/>
      <c r="M97" s="1223"/>
      <c r="N97" s="318"/>
      <c r="O97" s="318"/>
    </row>
    <row r="98" spans="1:15" s="320" customFormat="1" x14ac:dyDescent="0.2">
      <c r="A98" s="577"/>
      <c r="B98" s="578"/>
      <c r="C98" s="1"/>
      <c r="D98" s="579"/>
      <c r="E98" s="38"/>
      <c r="F98" s="1"/>
      <c r="G98" s="95">
        <v>413</v>
      </c>
      <c r="H98" s="89" t="s">
        <v>210</v>
      </c>
      <c r="I98" s="160">
        <f>SUMIF($G$267:$G$2352,413,(I$267:I$2352))</f>
        <v>4810000</v>
      </c>
      <c r="J98" s="160">
        <f>SUMIF($G$267:$G$2352,413,(J$267:J$2352))</f>
        <v>70000</v>
      </c>
      <c r="K98" s="160">
        <f>SUMIF($G$267:$G$2352,413,(K$267:K$2352))</f>
        <v>4880000</v>
      </c>
      <c r="L98" s="26"/>
      <c r="M98" s="1227"/>
      <c r="N98" s="319"/>
      <c r="O98" s="319"/>
    </row>
    <row r="99" spans="1:15" x14ac:dyDescent="0.2">
      <c r="A99" s="577"/>
      <c r="B99" s="578"/>
      <c r="C99" s="1"/>
      <c r="D99" s="579"/>
      <c r="E99" s="38"/>
      <c r="F99" s="1"/>
      <c r="G99" s="95">
        <v>414</v>
      </c>
      <c r="H99" s="89" t="s">
        <v>4</v>
      </c>
      <c r="I99" s="160">
        <f>SUMIF($G$267:$G$2352,414,(I$267:I$2352))</f>
        <v>12748609</v>
      </c>
      <c r="J99" s="160">
        <f>SUMIF($G$267:$G$2352,414,(J$267:J$2352))</f>
        <v>14400000</v>
      </c>
      <c r="K99" s="160">
        <f>SUMIF($G$267:$G$2352,414,(K$267:K$2352))</f>
        <v>27148609</v>
      </c>
    </row>
    <row r="100" spans="1:15" x14ac:dyDescent="0.2">
      <c r="A100" s="577"/>
      <c r="B100" s="578"/>
      <c r="C100" s="1"/>
      <c r="D100" s="579"/>
      <c r="E100" s="38"/>
      <c r="F100" s="1"/>
      <c r="G100" s="95">
        <v>415</v>
      </c>
      <c r="H100" s="89" t="s">
        <v>5</v>
      </c>
      <c r="I100" s="160">
        <f>SUMIF($G$267:$G$2352,415,(I$267:I$2352))</f>
        <v>11575000</v>
      </c>
      <c r="J100" s="160">
        <f>SUMIF($G$267:$G$2352,415,(J$267:J$2352))</f>
        <v>0</v>
      </c>
      <c r="K100" s="160">
        <f>SUMIF($G$267:$G$2352,415,(K$267:K$2352))</f>
        <v>11575000</v>
      </c>
    </row>
    <row r="101" spans="1:15" x14ac:dyDescent="0.2">
      <c r="A101" s="577"/>
      <c r="B101" s="578"/>
      <c r="C101" s="1"/>
      <c r="D101" s="579"/>
      <c r="E101" s="38"/>
      <c r="F101" s="1"/>
      <c r="G101" s="95">
        <v>416</v>
      </c>
      <c r="H101" s="89" t="s">
        <v>6</v>
      </c>
      <c r="I101" s="160">
        <f>SUMIF($G$267:$G$2352,416,(I$267:I$2352))</f>
        <v>17795400</v>
      </c>
      <c r="J101" s="160">
        <f>SUMIF($G$267:$G$2352,416,(J$267:J$2352))</f>
        <v>0</v>
      </c>
      <c r="K101" s="160">
        <f>SUMIF($G$267:$G$2352,416,(K$267:K$2352))</f>
        <v>17795400</v>
      </c>
    </row>
    <row r="102" spans="1:15" x14ac:dyDescent="0.2">
      <c r="A102" s="577"/>
      <c r="B102" s="578"/>
      <c r="C102" s="1"/>
      <c r="D102" s="579"/>
      <c r="E102" s="38"/>
      <c r="F102" s="1"/>
      <c r="G102" s="634">
        <v>42</v>
      </c>
      <c r="H102" s="635" t="s">
        <v>211</v>
      </c>
      <c r="I102" s="162">
        <f>SUM(I103:I108)</f>
        <v>1140212268.02</v>
      </c>
      <c r="J102" s="162">
        <f>SUM(J103:J108)</f>
        <v>11494000</v>
      </c>
      <c r="K102" s="162">
        <f>SUM(K103:K108)</f>
        <v>1151706268.02</v>
      </c>
      <c r="L102" s="316"/>
      <c r="M102" s="906">
        <f>K102/$K$143*100</f>
        <v>24.796875744580436</v>
      </c>
    </row>
    <row r="103" spans="1:15" x14ac:dyDescent="0.2">
      <c r="A103" s="577"/>
      <c r="B103" s="578"/>
      <c r="C103" s="1"/>
      <c r="D103" s="579"/>
      <c r="E103" s="38"/>
      <c r="F103" s="1"/>
      <c r="G103" s="95">
        <v>421</v>
      </c>
      <c r="H103" s="89" t="s">
        <v>7</v>
      </c>
      <c r="I103" s="160">
        <f>SUMIF($G$267:$G$2352,421,(I$267:I$2352))</f>
        <v>129330608.31999999</v>
      </c>
      <c r="J103" s="160">
        <f>SUMIF($G$267:$G$2352,421,(J$267:J$2352))</f>
        <v>582000</v>
      </c>
      <c r="K103" s="160">
        <f>SUMIF($G$267:$G$2352,421,(K$267:K$2352))</f>
        <v>129912608.31999999</v>
      </c>
    </row>
    <row r="104" spans="1:15" x14ac:dyDescent="0.2">
      <c r="A104" s="577"/>
      <c r="B104" s="578"/>
      <c r="C104" s="1"/>
      <c r="D104" s="579"/>
      <c r="E104" s="38"/>
      <c r="F104" s="1"/>
      <c r="G104" s="95">
        <v>422</v>
      </c>
      <c r="H104" s="89" t="s">
        <v>8</v>
      </c>
      <c r="I104" s="160">
        <f>SUMIF($G$267:$G$2352,422,(I$267:I$2352))</f>
        <v>6992000</v>
      </c>
      <c r="J104" s="160">
        <f>SUMIF($G$267:$G$2352,422,(J$267:J$2352))</f>
        <v>320000</v>
      </c>
      <c r="K104" s="160">
        <f>SUMIF($G$267:$G$2352,422,(K$267:K$2352))</f>
        <v>7312000</v>
      </c>
    </row>
    <row r="105" spans="1:15" x14ac:dyDescent="0.2">
      <c r="A105" s="577"/>
      <c r="B105" s="578"/>
      <c r="C105" s="1"/>
      <c r="D105" s="579"/>
      <c r="E105" s="38"/>
      <c r="F105" s="1"/>
      <c r="G105" s="95">
        <v>423</v>
      </c>
      <c r="H105" s="89" t="s">
        <v>9</v>
      </c>
      <c r="I105" s="160">
        <f>SUMIF($G$267:$G$2352,423,(I$267:I$2352))</f>
        <v>168457416.44</v>
      </c>
      <c r="J105" s="160">
        <f>SUMIF($G$267:$G$2352,423,(J$267:J$2352))</f>
        <v>1140000</v>
      </c>
      <c r="K105" s="160">
        <f>SUMIF($G$267:$G$2352,423,(K$267:K$2352))</f>
        <v>169597416.44</v>
      </c>
    </row>
    <row r="106" spans="1:15" x14ac:dyDescent="0.2">
      <c r="A106" s="577"/>
      <c r="B106" s="578"/>
      <c r="C106" s="1"/>
      <c r="D106" s="579"/>
      <c r="E106" s="38"/>
      <c r="F106" s="1"/>
      <c r="G106" s="95">
        <v>424</v>
      </c>
      <c r="H106" s="89" t="s">
        <v>10</v>
      </c>
      <c r="I106" s="160">
        <f>SUMIF($G$267:$G$2352,424,(I$267:I$2352))</f>
        <v>697288456.25999999</v>
      </c>
      <c r="J106" s="160">
        <f>SUMIF($G$267:$G$2352,424,(J$267:J$2352))</f>
        <v>7320000</v>
      </c>
      <c r="K106" s="160">
        <f>SUMIF($G$267:$G$2352,424,(K$267:K$2352))</f>
        <v>704608456.25999999</v>
      </c>
    </row>
    <row r="107" spans="1:15" x14ac:dyDescent="0.2">
      <c r="A107" s="577"/>
      <c r="B107" s="578"/>
      <c r="C107" s="1"/>
      <c r="D107" s="579"/>
      <c r="E107" s="38"/>
      <c r="F107" s="1"/>
      <c r="G107" s="95">
        <v>425</v>
      </c>
      <c r="H107" s="89" t="s">
        <v>11</v>
      </c>
      <c r="I107" s="160">
        <f>SUMIF($G$267:$G$2352,425,(I$267:I$2352))</f>
        <v>55301787</v>
      </c>
      <c r="J107" s="160">
        <f>SUMIF($G$267:$G$2352,425,(J$267:J$2352))</f>
        <v>90000</v>
      </c>
      <c r="K107" s="160">
        <f>SUMIF($G$267:$G$2352,425,(K$267:K$2352))</f>
        <v>55391787</v>
      </c>
    </row>
    <row r="108" spans="1:15" x14ac:dyDescent="0.2">
      <c r="A108" s="577"/>
      <c r="B108" s="578"/>
      <c r="C108" s="1"/>
      <c r="D108" s="579"/>
      <c r="E108" s="38"/>
      <c r="F108" s="1"/>
      <c r="G108" s="95">
        <v>426</v>
      </c>
      <c r="H108" s="89" t="s">
        <v>212</v>
      </c>
      <c r="I108" s="160">
        <f>SUMIF($G$267:$G$2352,426,(I$267:I$2352))</f>
        <v>82842000</v>
      </c>
      <c r="J108" s="160">
        <f>SUMIF($G$267:$G$2352,426,(J$267:J$2352))</f>
        <v>2042000</v>
      </c>
      <c r="K108" s="160">
        <f>SUMIF($G$267:$G$2352,426,(K$267:K$2352))</f>
        <v>84884000</v>
      </c>
    </row>
    <row r="109" spans="1:15" x14ac:dyDescent="0.2">
      <c r="A109" s="577"/>
      <c r="B109" s="578"/>
      <c r="C109" s="1"/>
      <c r="D109" s="579"/>
      <c r="E109" s="38"/>
      <c r="F109" s="1"/>
      <c r="G109" s="634">
        <v>43</v>
      </c>
      <c r="H109" s="635" t="s">
        <v>213</v>
      </c>
      <c r="I109" s="162">
        <f>SUM(I110)</f>
        <v>200000</v>
      </c>
      <c r="J109" s="162">
        <f>SUM(J110)</f>
        <v>150000</v>
      </c>
      <c r="K109" s="162">
        <f>SUM(I109:J109)</f>
        <v>350000</v>
      </c>
      <c r="L109" s="316"/>
      <c r="M109" s="906">
        <f>K109/$K$143*100</f>
        <v>7.5356944314663044E-3</v>
      </c>
    </row>
    <row r="110" spans="1:15" x14ac:dyDescent="0.2">
      <c r="A110" s="577"/>
      <c r="B110" s="578"/>
      <c r="C110" s="1"/>
      <c r="D110" s="579"/>
      <c r="E110" s="38"/>
      <c r="F110" s="1"/>
      <c r="G110" s="95">
        <v>431</v>
      </c>
      <c r="H110" s="89" t="s">
        <v>12</v>
      </c>
      <c r="I110" s="160">
        <f>SUMIF($G$267:$G$2352,431,(I$267:I$2352))</f>
        <v>200000</v>
      </c>
      <c r="J110" s="160">
        <f>SUMIF($G$267:$G$2352,431,(J$267:J$2352))</f>
        <v>150000</v>
      </c>
      <c r="K110" s="160">
        <f>SUMIF($G$267:$G$2352,431,(K$267:K$2352))</f>
        <v>350000</v>
      </c>
    </row>
    <row r="111" spans="1:15" x14ac:dyDescent="0.2">
      <c r="A111" s="577"/>
      <c r="B111" s="578"/>
      <c r="C111" s="1"/>
      <c r="D111" s="579"/>
      <c r="E111" s="38"/>
      <c r="F111" s="1"/>
      <c r="G111" s="634">
        <v>44</v>
      </c>
      <c r="H111" s="635" t="s">
        <v>214</v>
      </c>
      <c r="I111" s="162">
        <f>SUM(I112:I113)</f>
        <v>6774000</v>
      </c>
      <c r="J111" s="162">
        <f>SUM(J112:J113)</f>
        <v>0</v>
      </c>
      <c r="K111" s="162">
        <f>SUM(I111:J111)</f>
        <v>6774000</v>
      </c>
      <c r="L111" s="316"/>
      <c r="M111" s="906">
        <f>K111/$K$143*100</f>
        <v>0.14584798308215069</v>
      </c>
    </row>
    <row r="112" spans="1:15" x14ac:dyDescent="0.2">
      <c r="A112" s="577"/>
      <c r="B112" s="578"/>
      <c r="C112" s="1"/>
      <c r="D112" s="579"/>
      <c r="E112" s="38"/>
      <c r="F112" s="1"/>
      <c r="G112" s="95">
        <v>441</v>
      </c>
      <c r="H112" s="89" t="s">
        <v>13</v>
      </c>
      <c r="I112" s="160">
        <f>SUMIF($G$267:$G$2352,441,(I$267:I$2352))</f>
        <v>5521000</v>
      </c>
      <c r="J112" s="160">
        <f>SUMIF($G$267:$G$2352,441,(J$267:J$2352))</f>
        <v>0</v>
      </c>
      <c r="K112" s="160">
        <f>SUMIF($G$267:$G$2352,441,(K$267:K$2352))</f>
        <v>5521000</v>
      </c>
    </row>
    <row r="113" spans="1:13" x14ac:dyDescent="0.2">
      <c r="A113" s="577"/>
      <c r="B113" s="578"/>
      <c r="C113" s="1"/>
      <c r="D113" s="579"/>
      <c r="E113" s="38"/>
      <c r="F113" s="1"/>
      <c r="G113" s="95">
        <v>444</v>
      </c>
      <c r="H113" s="89" t="s">
        <v>14</v>
      </c>
      <c r="I113" s="160">
        <f>SUMIF($G$267:$G$2352,444,(I$267:I$2352))</f>
        <v>1253000</v>
      </c>
      <c r="J113" s="160">
        <f>SUMIF($G$267:$G$2352,444,(J$267:J$2352))</f>
        <v>0</v>
      </c>
      <c r="K113" s="160">
        <f>SUMIF($G$267:$G$2352,444,(K$267:K$2352))</f>
        <v>1253000</v>
      </c>
    </row>
    <row r="114" spans="1:13" x14ac:dyDescent="0.2">
      <c r="A114" s="577"/>
      <c r="B114" s="578"/>
      <c r="C114" s="1"/>
      <c r="D114" s="579"/>
      <c r="E114" s="38"/>
      <c r="F114" s="1"/>
      <c r="G114" s="634">
        <v>45</v>
      </c>
      <c r="H114" s="635" t="s">
        <v>215</v>
      </c>
      <c r="I114" s="162">
        <f>SUM(I115:I116)</f>
        <v>211007010</v>
      </c>
      <c r="J114" s="162">
        <f>SUM(J115:J116)</f>
        <v>0</v>
      </c>
      <c r="K114" s="162">
        <f>SUM(I114:J114)</f>
        <v>211007010</v>
      </c>
      <c r="L114" s="316"/>
      <c r="M114" s="906">
        <f>K114/$K$143*100</f>
        <v>4.5430981435924425</v>
      </c>
    </row>
    <row r="115" spans="1:13" x14ac:dyDescent="0.2">
      <c r="A115" s="577"/>
      <c r="B115" s="578"/>
      <c r="C115" s="1"/>
      <c r="D115" s="579"/>
      <c r="E115" s="38"/>
      <c r="F115" s="1"/>
      <c r="G115" s="95">
        <v>451</v>
      </c>
      <c r="H115" s="89" t="s">
        <v>216</v>
      </c>
      <c r="I115" s="160">
        <f>SUMIF($G$267:$G$2352,451,(I$267:I$2352))</f>
        <v>199037010</v>
      </c>
      <c r="J115" s="160">
        <f>SUMIF($G$267:$G$2352,451,(J$267:J$2352))</f>
        <v>0</v>
      </c>
      <c r="K115" s="160">
        <f>SUMIF($G$267:$G$2352,451,(K$267:K$2352))</f>
        <v>199037010</v>
      </c>
    </row>
    <row r="116" spans="1:13" x14ac:dyDescent="0.2">
      <c r="A116" s="577"/>
      <c r="B116" s="578"/>
      <c r="C116" s="1"/>
      <c r="D116" s="579"/>
      <c r="E116" s="38"/>
      <c r="F116" s="1"/>
      <c r="G116" s="95">
        <v>454</v>
      </c>
      <c r="H116" s="89" t="s">
        <v>15</v>
      </c>
      <c r="I116" s="160">
        <f>SUMIF($G$267:$G$2352,454,(I$267:I$2352))</f>
        <v>11970000</v>
      </c>
      <c r="J116" s="160">
        <f>SUMIF($G$267:$G$2352,454,(J$267:J$2352))</f>
        <v>0</v>
      </c>
      <c r="K116" s="160">
        <f>SUMIF($G$267:$G$2352,454,(K$267:K$2352))</f>
        <v>11970000</v>
      </c>
    </row>
    <row r="117" spans="1:13" x14ac:dyDescent="0.2">
      <c r="A117" s="577"/>
      <c r="B117" s="578"/>
      <c r="C117" s="1"/>
      <c r="D117" s="579"/>
      <c r="E117" s="38"/>
      <c r="F117" s="1"/>
      <c r="G117" s="634">
        <v>46</v>
      </c>
      <c r="H117" s="635" t="s">
        <v>217</v>
      </c>
      <c r="I117" s="162">
        <f>SUM(I118:I120)</f>
        <v>410663965.05000001</v>
      </c>
      <c r="J117" s="162">
        <f>SUM(J118:J120)</f>
        <v>11800</v>
      </c>
      <c r="K117" s="162">
        <f>SUM(I117:J117)</f>
        <v>410675765.05000001</v>
      </c>
      <c r="L117" s="316"/>
      <c r="M117" s="906">
        <f>K117/$K$143*100</f>
        <v>8.8420773595012836</v>
      </c>
    </row>
    <row r="118" spans="1:13" x14ac:dyDescent="0.2">
      <c r="A118" s="577"/>
      <c r="B118" s="578"/>
      <c r="C118" s="1"/>
      <c r="D118" s="579"/>
      <c r="E118" s="38"/>
      <c r="F118" s="1"/>
      <c r="G118" s="95">
        <v>463</v>
      </c>
      <c r="H118" s="89" t="s">
        <v>16</v>
      </c>
      <c r="I118" s="160">
        <f>SUMIF($G$267:$G$2352,463,(I$267:I$2352))</f>
        <v>256288774.05000001</v>
      </c>
      <c r="J118" s="160">
        <f>SUMIF($G$267:$G$2352,463,(J$267:J$2352))</f>
        <v>0</v>
      </c>
      <c r="K118" s="160">
        <f>SUMIF($G$267:$G$2352,463,(K$267:K$2352))</f>
        <v>256288774.05000001</v>
      </c>
    </row>
    <row r="119" spans="1:13" x14ac:dyDescent="0.2">
      <c r="A119" s="577"/>
      <c r="B119" s="578"/>
      <c r="C119" s="1"/>
      <c r="D119" s="579"/>
      <c r="E119" s="38"/>
      <c r="F119" s="1"/>
      <c r="G119" s="95">
        <v>464</v>
      </c>
      <c r="H119" s="89" t="s">
        <v>412</v>
      </c>
      <c r="I119" s="160">
        <f>SUMIF($G$267:$G$2352,464,(I$267:I$2352))</f>
        <v>126700000</v>
      </c>
      <c r="J119" s="160">
        <f>SUMIF($G$267:$G$2352,464,(J$267:J$2352))</f>
        <v>0</v>
      </c>
      <c r="K119" s="160">
        <f>SUMIF($G$267:$G$2352,464,(K$267:K$2352))</f>
        <v>126700000</v>
      </c>
    </row>
    <row r="120" spans="1:13" x14ac:dyDescent="0.2">
      <c r="A120" s="577"/>
      <c r="B120" s="578"/>
      <c r="C120" s="1"/>
      <c r="D120" s="579"/>
      <c r="E120" s="38"/>
      <c r="F120" s="1"/>
      <c r="G120" s="95">
        <v>465</v>
      </c>
      <c r="H120" s="90" t="s">
        <v>218</v>
      </c>
      <c r="I120" s="160">
        <f>SUMIF($G$267:$G$2352,465,(I$267:I$2352))</f>
        <v>27675191</v>
      </c>
      <c r="J120" s="160">
        <f>SUMIF($G$267:$G$2352,465,(J$267:J$2352))</f>
        <v>11800</v>
      </c>
      <c r="K120" s="160">
        <f>SUMIF($G$267:$G$2352,465,(K$267:K$2352))</f>
        <v>27686991</v>
      </c>
    </row>
    <row r="121" spans="1:13" x14ac:dyDescent="0.2">
      <c r="A121" s="577"/>
      <c r="B121" s="578"/>
      <c r="C121" s="1"/>
      <c r="D121" s="579"/>
      <c r="E121" s="38"/>
      <c r="F121" s="1"/>
      <c r="G121" s="634">
        <v>47</v>
      </c>
      <c r="H121" s="635" t="s">
        <v>219</v>
      </c>
      <c r="I121" s="162">
        <f>SUM(I122)</f>
        <v>338963222.39999998</v>
      </c>
      <c r="J121" s="162">
        <f>SUM(J122)</f>
        <v>0</v>
      </c>
      <c r="K121" s="162">
        <f>SUM(I121:J121)</f>
        <v>338963222.39999998</v>
      </c>
      <c r="L121" s="316"/>
      <c r="M121" s="906">
        <f>K121/$K$143*100</f>
        <v>7.2980664786044409</v>
      </c>
    </row>
    <row r="122" spans="1:13" x14ac:dyDescent="0.2">
      <c r="A122" s="577"/>
      <c r="B122" s="578"/>
      <c r="C122" s="1"/>
      <c r="D122" s="579"/>
      <c r="E122" s="38"/>
      <c r="F122" s="1"/>
      <c r="G122" s="95">
        <v>472</v>
      </c>
      <c r="H122" s="89" t="s">
        <v>220</v>
      </c>
      <c r="I122" s="160">
        <f>SUMIF($G$267:$G$2352,472,(I$267:I$2352))</f>
        <v>338963222.39999998</v>
      </c>
      <c r="J122" s="160">
        <f>SUMIF($G$267:$G$2352,472,(J$267:J$2352))</f>
        <v>0</v>
      </c>
      <c r="K122" s="160">
        <f>SUMIF($G$267:$G$2352,472,(K$267:K$2352))</f>
        <v>338963222.39999998</v>
      </c>
    </row>
    <row r="123" spans="1:13" x14ac:dyDescent="0.2">
      <c r="A123" s="577"/>
      <c r="B123" s="578"/>
      <c r="C123" s="1"/>
      <c r="D123" s="579"/>
      <c r="E123" s="38"/>
      <c r="F123" s="1"/>
      <c r="G123" s="634">
        <v>48</v>
      </c>
      <c r="H123" s="635" t="s">
        <v>221</v>
      </c>
      <c r="I123" s="162">
        <f>SUM(I124:I127)</f>
        <v>219908500</v>
      </c>
      <c r="J123" s="162">
        <f t="shared" ref="J123" si="4">SUM(J124:J127)</f>
        <v>39000</v>
      </c>
      <c r="K123" s="162">
        <f>SUM(I123:J123)</f>
        <v>219947500</v>
      </c>
      <c r="L123" s="316"/>
      <c r="M123" s="906">
        <f>K123/$K$143*100</f>
        <v>4.7355918598998139</v>
      </c>
    </row>
    <row r="124" spans="1:13" x14ac:dyDescent="0.2">
      <c r="A124" s="577"/>
      <c r="B124" s="578"/>
      <c r="C124" s="1"/>
      <c r="D124" s="579"/>
      <c r="E124" s="38"/>
      <c r="F124" s="1"/>
      <c r="G124" s="95">
        <v>481</v>
      </c>
      <c r="H124" s="89" t="s">
        <v>222</v>
      </c>
      <c r="I124" s="160">
        <f>SUMIF($G$267:$G$2352,481,(I$267:I$2352))</f>
        <v>125704500</v>
      </c>
      <c r="J124" s="160">
        <f>SUMIF($G$267:$G$2352,481,(J$267:J$2352))</f>
        <v>0</v>
      </c>
      <c r="K124" s="160">
        <f>SUMIF($G$267:$G$2352,481,(K$267:K$2352))</f>
        <v>125704500</v>
      </c>
    </row>
    <row r="125" spans="1:13" x14ac:dyDescent="0.2">
      <c r="A125" s="577"/>
      <c r="B125" s="578"/>
      <c r="C125" s="1"/>
      <c r="D125" s="579"/>
      <c r="E125" s="38"/>
      <c r="F125" s="1"/>
      <c r="G125" s="95">
        <v>482</v>
      </c>
      <c r="H125" s="89" t="s">
        <v>17</v>
      </c>
      <c r="I125" s="160">
        <f>SUMIF($G$267:$G$2352,482,(I$267:I$2352))</f>
        <v>8792000</v>
      </c>
      <c r="J125" s="160">
        <f>SUMIF($G$267:$G$2352,482,(J$267:J$2352))</f>
        <v>39000</v>
      </c>
      <c r="K125" s="160">
        <f>SUMIF($G$267:$G$2352,482,(K$267:K$2352))</f>
        <v>8831000</v>
      </c>
    </row>
    <row r="126" spans="1:13" x14ac:dyDescent="0.2">
      <c r="A126" s="577"/>
      <c r="B126" s="578"/>
      <c r="C126" s="1"/>
      <c r="D126" s="579"/>
      <c r="E126" s="38"/>
      <c r="F126" s="1"/>
      <c r="G126" s="95">
        <v>483</v>
      </c>
      <c r="H126" s="89" t="s">
        <v>18</v>
      </c>
      <c r="I126" s="160">
        <f>SUMIF($G$267:$G$2352,483,(I$267:I$2352))</f>
        <v>80412000</v>
      </c>
      <c r="J126" s="160">
        <f>SUMIF($G$267:$G$2352,483,(J$267:J$2352))</f>
        <v>0</v>
      </c>
      <c r="K126" s="160">
        <f>SUMIF($G$267:$G$2352,483,(K$267:K$2352))</f>
        <v>80412000</v>
      </c>
    </row>
    <row r="127" spans="1:13" x14ac:dyDescent="0.2">
      <c r="A127" s="577"/>
      <c r="B127" s="578"/>
      <c r="C127" s="1"/>
      <c r="D127" s="579"/>
      <c r="E127" s="38"/>
      <c r="F127" s="1"/>
      <c r="G127" s="95">
        <v>485</v>
      </c>
      <c r="H127" s="90" t="s">
        <v>19</v>
      </c>
      <c r="I127" s="160">
        <f>SUMIF($G$267:$G$2352,485,(I$267:I$2352))</f>
        <v>5000000</v>
      </c>
      <c r="J127" s="160">
        <f>SUMIF($G$267:$G$2352,485,(J$267:J$2352))</f>
        <v>0</v>
      </c>
      <c r="K127" s="160">
        <f>SUMIF($G$267:$G$2352,485,(K$267:K$2352))</f>
        <v>5000000</v>
      </c>
    </row>
    <row r="128" spans="1:13" x14ac:dyDescent="0.2">
      <c r="A128" s="577"/>
      <c r="B128" s="578"/>
      <c r="C128" s="1"/>
      <c r="D128" s="579"/>
      <c r="E128" s="38"/>
      <c r="F128" s="1"/>
      <c r="G128" s="634">
        <v>49</v>
      </c>
      <c r="H128" s="635" t="s">
        <v>409</v>
      </c>
      <c r="I128" s="162">
        <f>SUM(I129)</f>
        <v>30624198</v>
      </c>
      <c r="J128" s="162">
        <f>SUM(J129)</f>
        <v>0</v>
      </c>
      <c r="K128" s="162">
        <f>SUM(I128:J128)</f>
        <v>30624198</v>
      </c>
      <c r="L128" s="316"/>
      <c r="M128" s="906">
        <f>K128/$K$143*100</f>
        <v>0.65935599524777577</v>
      </c>
    </row>
    <row r="129" spans="1:15" x14ac:dyDescent="0.2">
      <c r="A129" s="577"/>
      <c r="B129" s="578"/>
      <c r="C129" s="1"/>
      <c r="D129" s="579"/>
      <c r="E129" s="38"/>
      <c r="F129" s="1"/>
      <c r="G129" s="95">
        <v>499</v>
      </c>
      <c r="H129" s="89" t="s">
        <v>223</v>
      </c>
      <c r="I129" s="160">
        <f>SUMIF($G$267:$G$2352,499,(I$267:I$2352))</f>
        <v>30624198</v>
      </c>
      <c r="J129" s="160">
        <f>SUMIF($G$267:$G$2352,499,(J$267:J$2352))</f>
        <v>0</v>
      </c>
      <c r="K129" s="160">
        <f>SUMIF($G$267:$G$2352,499,(K$267:K$2352))</f>
        <v>30624198</v>
      </c>
    </row>
    <row r="130" spans="1:15" x14ac:dyDescent="0.2">
      <c r="A130" s="577"/>
      <c r="B130" s="578"/>
      <c r="C130" s="1"/>
      <c r="D130" s="579"/>
      <c r="E130" s="38"/>
      <c r="F130" s="1"/>
      <c r="G130" s="634">
        <v>51</v>
      </c>
      <c r="H130" s="635" t="s">
        <v>224</v>
      </c>
      <c r="I130" s="162">
        <f>SUM(I131:I134)</f>
        <v>1879150027.53</v>
      </c>
      <c r="J130" s="162">
        <f>SUM(J131:J134)</f>
        <v>700000</v>
      </c>
      <c r="K130" s="162">
        <f>SUM(I130:J130)</f>
        <v>1879850027.53</v>
      </c>
      <c r="L130" s="316"/>
      <c r="M130" s="906">
        <f>K130/$K$143*100</f>
        <v>40.474215384141708</v>
      </c>
    </row>
    <row r="131" spans="1:15" x14ac:dyDescent="0.2">
      <c r="A131" s="577"/>
      <c r="B131" s="578"/>
      <c r="C131" s="1"/>
      <c r="D131" s="579"/>
      <c r="E131" s="38"/>
      <c r="F131" s="1"/>
      <c r="G131" s="95">
        <v>511</v>
      </c>
      <c r="H131" s="89" t="s">
        <v>20</v>
      </c>
      <c r="I131" s="160">
        <f>SUMIF($G$267:$G$2352,511,(I$267:I$2352))</f>
        <v>1730167805.3299999</v>
      </c>
      <c r="J131" s="160">
        <f>SUMIF($G$267:$G$2352,511,(J$267:J$2352))</f>
        <v>0</v>
      </c>
      <c r="K131" s="160">
        <f>SUMIF($G$267:$G$2352,511,(K$267:K$2352))</f>
        <v>1730167805.3299999</v>
      </c>
    </row>
    <row r="132" spans="1:15" x14ac:dyDescent="0.2">
      <c r="A132" s="577"/>
      <c r="B132" s="578"/>
      <c r="C132" s="1"/>
      <c r="D132" s="579"/>
      <c r="E132" s="38"/>
      <c r="F132" s="1"/>
      <c r="G132" s="95">
        <v>512</v>
      </c>
      <c r="H132" s="89" t="s">
        <v>21</v>
      </c>
      <c r="I132" s="160">
        <f>SUMIF($G$267:$G$2352,512,(I$267:I$2352))</f>
        <v>132084722.2</v>
      </c>
      <c r="J132" s="160">
        <f>SUMIF($G$267:$G$2352,512,(J$267:J$2352))</f>
        <v>300000</v>
      </c>
      <c r="K132" s="160">
        <f>SUMIF($G$267:$G$2352,512,(K$267:K$2352))</f>
        <v>132384722.2</v>
      </c>
    </row>
    <row r="133" spans="1:15" x14ac:dyDescent="0.2">
      <c r="A133" s="577"/>
      <c r="B133" s="578"/>
      <c r="C133" s="1"/>
      <c r="D133" s="579"/>
      <c r="E133" s="38"/>
      <c r="F133" s="1"/>
      <c r="G133" s="95">
        <v>513</v>
      </c>
      <c r="H133" s="89" t="s">
        <v>22</v>
      </c>
      <c r="I133" s="160">
        <f>SUMIF($G$267:$G$2352,513,(I$267:I$2352))</f>
        <v>6001000</v>
      </c>
      <c r="J133" s="160">
        <f>SUMIF($G$267:$G$2352,513,(J$267:J$2352))</f>
        <v>0</v>
      </c>
      <c r="K133" s="160">
        <f>SUMIF($G$267:$G$2352,513,(K$267:K$2352))</f>
        <v>6001000</v>
      </c>
    </row>
    <row r="134" spans="1:15" x14ac:dyDescent="0.2">
      <c r="A134" s="577"/>
      <c r="B134" s="578"/>
      <c r="C134" s="1"/>
      <c r="D134" s="579"/>
      <c r="E134" s="38"/>
      <c r="F134" s="1"/>
      <c r="G134" s="95">
        <v>515</v>
      </c>
      <c r="H134" s="89" t="s">
        <v>23</v>
      </c>
      <c r="I134" s="160">
        <f>SUMIF($G$267:$G$2352,515,(I$267:I$2352))</f>
        <v>10896500</v>
      </c>
      <c r="J134" s="160">
        <f>SUMIF($G$267:$G$2352,515,(J$267:J$2352))</f>
        <v>400000</v>
      </c>
      <c r="K134" s="160">
        <f>SUMIF($G$267:$G$2352,515,(K$267:K$2352))</f>
        <v>11296500</v>
      </c>
    </row>
    <row r="135" spans="1:15" x14ac:dyDescent="0.2">
      <c r="A135" s="577"/>
      <c r="B135" s="578"/>
      <c r="C135" s="1"/>
      <c r="D135" s="579"/>
      <c r="E135" s="38"/>
      <c r="F135" s="1"/>
      <c r="G135" s="634">
        <v>52</v>
      </c>
      <c r="H135" s="635" t="s">
        <v>225</v>
      </c>
      <c r="I135" s="162">
        <f>SUM(I136)</f>
        <v>0</v>
      </c>
      <c r="J135" s="162">
        <f t="shared" ref="J135" si="5">SUM(J136)</f>
        <v>2250000</v>
      </c>
      <c r="K135" s="162">
        <f>SUM(I135:J135)</f>
        <v>2250000</v>
      </c>
      <c r="L135" s="316"/>
      <c r="M135" s="906">
        <f>K135/$K$143*100</f>
        <v>4.84437499165691E-2</v>
      </c>
    </row>
    <row r="136" spans="1:15" x14ac:dyDescent="0.2">
      <c r="A136" s="577"/>
      <c r="B136" s="578"/>
      <c r="C136" s="1"/>
      <c r="D136" s="579"/>
      <c r="E136" s="38"/>
      <c r="F136" s="1"/>
      <c r="G136" s="95">
        <v>523</v>
      </c>
      <c r="H136" s="90" t="s">
        <v>24</v>
      </c>
      <c r="I136" s="160">
        <f>SUMIF($G$267:$G$2352,523,(I$267:I$2352))</f>
        <v>0</v>
      </c>
      <c r="J136" s="160">
        <f>SUMIF($G$267:$G$2352,523,(J$267:J$2352))</f>
        <v>2250000</v>
      </c>
      <c r="K136" s="160">
        <f>SUMIF($G$267:$G$2352,523,(K$267:K$2352))</f>
        <v>2250000</v>
      </c>
    </row>
    <row r="137" spans="1:15" x14ac:dyDescent="0.2">
      <c r="A137" s="577"/>
      <c r="B137" s="578"/>
      <c r="C137" s="1"/>
      <c r="D137" s="579"/>
      <c r="E137" s="38"/>
      <c r="F137" s="1"/>
      <c r="G137" s="634">
        <v>54</v>
      </c>
      <c r="H137" s="97" t="s">
        <v>226</v>
      </c>
      <c r="I137" s="162">
        <f>SUM(I138)</f>
        <v>54001000</v>
      </c>
      <c r="J137" s="162">
        <f>SUM(J138)</f>
        <v>0</v>
      </c>
      <c r="K137" s="162">
        <f>SUM(I137:J137)</f>
        <v>54001000</v>
      </c>
      <c r="L137" s="316"/>
      <c r="M137" s="906">
        <f>K137/$K$143*100</f>
        <v>1.1626715285531768</v>
      </c>
    </row>
    <row r="138" spans="1:15" x14ac:dyDescent="0.2">
      <c r="A138" s="577"/>
      <c r="B138" s="578"/>
      <c r="C138" s="1"/>
      <c r="D138" s="579"/>
      <c r="E138" s="38"/>
      <c r="F138" s="1"/>
      <c r="G138" s="95">
        <v>541</v>
      </c>
      <c r="H138" s="90" t="s">
        <v>25</v>
      </c>
      <c r="I138" s="160">
        <f>SUMIF($G$267:$G$2352,541,(I$267:I$2352))</f>
        <v>54001000</v>
      </c>
      <c r="J138" s="160">
        <f>SUMIF($G$267:$G$2352,541,(J$267:J$2352))</f>
        <v>0</v>
      </c>
      <c r="K138" s="160">
        <f>SUMIF($G$267:$G$2352,541,(K$267:K$2352))</f>
        <v>54001000</v>
      </c>
    </row>
    <row r="139" spans="1:15" x14ac:dyDescent="0.2">
      <c r="A139" s="577"/>
      <c r="B139" s="578"/>
      <c r="C139" s="1"/>
      <c r="D139" s="579"/>
      <c r="E139" s="38"/>
      <c r="F139" s="1"/>
      <c r="G139" s="634">
        <v>61</v>
      </c>
      <c r="H139" s="635" t="s">
        <v>227</v>
      </c>
      <c r="I139" s="162">
        <f>SUM(I140)</f>
        <v>0</v>
      </c>
      <c r="J139" s="162">
        <f>SUM(J140)</f>
        <v>0</v>
      </c>
      <c r="K139" s="162">
        <f>SUM(I139:J139)</f>
        <v>0</v>
      </c>
      <c r="L139" s="316"/>
      <c r="M139" s="906">
        <f>K139/$K$143*100</f>
        <v>0</v>
      </c>
    </row>
    <row r="140" spans="1:15" x14ac:dyDescent="0.2">
      <c r="A140" s="577"/>
      <c r="B140" s="578"/>
      <c r="C140" s="1"/>
      <c r="D140" s="579"/>
      <c r="E140" s="38"/>
      <c r="F140" s="1"/>
      <c r="G140" s="95">
        <v>611</v>
      </c>
      <c r="H140" s="89" t="s">
        <v>26</v>
      </c>
      <c r="I140" s="160">
        <f>SUMIF($G$267:$G$2352,611,(I$267:I$2352))</f>
        <v>0</v>
      </c>
      <c r="J140" s="160">
        <f>SUMIF($G$267:$G$2352,611,(J$267:J$2352))</f>
        <v>0</v>
      </c>
      <c r="K140" s="160">
        <f>SUMIF($G$267:$G$2352,611,(K$267:K$2352))</f>
        <v>0</v>
      </c>
    </row>
    <row r="141" spans="1:15" x14ac:dyDescent="0.2">
      <c r="A141" s="577"/>
      <c r="B141" s="578"/>
      <c r="C141" s="1"/>
      <c r="D141" s="579"/>
      <c r="E141" s="38"/>
      <c r="F141" s="1"/>
      <c r="G141" s="634">
        <v>62</v>
      </c>
      <c r="H141" s="97" t="s">
        <v>228</v>
      </c>
      <c r="I141" s="162">
        <f>SUM(I142)</f>
        <v>100000</v>
      </c>
      <c r="J141" s="162">
        <f>SUM(J142)</f>
        <v>0</v>
      </c>
      <c r="K141" s="162">
        <f>SUM(I141:J141)</f>
        <v>100000</v>
      </c>
      <c r="L141" s="331"/>
      <c r="M141" s="1234">
        <f>K141/$K$143*100</f>
        <v>2.1530555518475157E-3</v>
      </c>
    </row>
    <row r="142" spans="1:15" x14ac:dyDescent="0.2">
      <c r="A142" s="577"/>
      <c r="B142" s="578"/>
      <c r="C142" s="1"/>
      <c r="D142" s="579"/>
      <c r="E142" s="38"/>
      <c r="F142" s="1"/>
      <c r="G142" s="95">
        <v>621</v>
      </c>
      <c r="H142" s="90" t="s">
        <v>27</v>
      </c>
      <c r="I142" s="160">
        <f>SUMIF($G$267:$G$2352,621,(I$267:I$2352))</f>
        <v>100000</v>
      </c>
      <c r="J142" s="160">
        <f>SUMIF($G$267:$G$2352,621,(J$267:J$2352))</f>
        <v>0</v>
      </c>
      <c r="K142" s="160">
        <f>SUMIF($G$267:$G$2352,621,(K$267:K$2352))</f>
        <v>100000</v>
      </c>
    </row>
    <row r="143" spans="1:15" x14ac:dyDescent="0.2">
      <c r="A143" s="636"/>
      <c r="B143" s="637"/>
      <c r="C143" s="638"/>
      <c r="D143" s="637"/>
      <c r="E143" s="639"/>
      <c r="F143" s="638"/>
      <c r="G143" s="613"/>
      <c r="H143" s="640" t="s">
        <v>229</v>
      </c>
      <c r="I143" s="617">
        <f>SUM(I95+I102+I109+I111+I114+I117+I121+I123+I128+I130+I137+I135+I139+I141)</f>
        <v>4615329200</v>
      </c>
      <c r="J143" s="617">
        <f>SUM(J95+J102+J109+J111+J114+J117+J123+J128+J121+J130+J135+J137+J139+J141)</f>
        <v>29232800</v>
      </c>
      <c r="K143" s="618">
        <f>SUM(K95+K102+K109+K111+K114+K117+K121+K123+K128+K130+K137+K135+K139+K141)</f>
        <v>4644562000</v>
      </c>
      <c r="L143" s="66"/>
      <c r="M143" s="1233">
        <f>SUM(M95:M141)</f>
        <v>100</v>
      </c>
      <c r="O143" s="34">
        <f>SUM(I143/K143)*100</f>
        <v>99.370601576639515</v>
      </c>
    </row>
    <row r="144" spans="1:15" ht="15.75" customHeight="1" x14ac:dyDescent="0.2">
      <c r="A144" s="332"/>
      <c r="B144" s="333"/>
      <c r="D144" s="332"/>
      <c r="G144" s="332"/>
      <c r="H144" s="334"/>
      <c r="I144" s="35"/>
      <c r="J144" s="35"/>
      <c r="K144" s="35"/>
      <c r="O144" s="34">
        <f>SUM(J143/K143)*100</f>
        <v>0.62939842336048046</v>
      </c>
    </row>
    <row r="145" spans="1:16" s="953" customFormat="1" ht="15.75" customHeight="1" x14ac:dyDescent="0.25">
      <c r="A145" s="1381" t="s">
        <v>234</v>
      </c>
      <c r="B145" s="1381"/>
      <c r="C145" s="1381"/>
      <c r="D145" s="1381"/>
      <c r="E145" s="1381"/>
      <c r="F145" s="1381"/>
      <c r="G145" s="1381"/>
      <c r="H145" s="1381"/>
      <c r="I145" s="1381"/>
      <c r="J145" s="1381"/>
      <c r="K145" s="1381"/>
      <c r="L145" s="1273"/>
      <c r="M145" s="1222"/>
      <c r="N145" s="885"/>
      <c r="O145" s="885"/>
    </row>
    <row r="146" spans="1:16" s="642" customFormat="1" ht="15.75" customHeight="1" x14ac:dyDescent="0.2">
      <c r="A146" s="643"/>
      <c r="B146" s="643"/>
      <c r="C146" s="643"/>
      <c r="D146" s="643"/>
      <c r="E146" s="643"/>
      <c r="F146" s="643"/>
      <c r="G146" s="644"/>
      <c r="H146" s="645"/>
      <c r="I146" s="646"/>
      <c r="J146" s="646"/>
      <c r="K146" s="646"/>
      <c r="L146" s="641"/>
      <c r="M146" s="1223"/>
      <c r="N146" s="61"/>
      <c r="O146" s="61"/>
    </row>
    <row r="147" spans="1:16" s="653" customFormat="1" ht="15.75" customHeight="1" x14ac:dyDescent="0.2">
      <c r="A147" s="647"/>
      <c r="B147" s="647"/>
      <c r="C147" s="647"/>
      <c r="D147" s="647" t="s">
        <v>1149</v>
      </c>
      <c r="E147" s="647"/>
      <c r="F147" s="647"/>
      <c r="G147" s="648"/>
      <c r="H147" s="649"/>
      <c r="I147" s="650"/>
      <c r="J147" s="650"/>
      <c r="K147" s="646"/>
      <c r="L147" s="651"/>
      <c r="M147" s="1223"/>
      <c r="N147" s="652"/>
      <c r="O147" s="652"/>
    </row>
    <row r="148" spans="1:16" s="653" customFormat="1" ht="15.75" customHeight="1" x14ac:dyDescent="0.2">
      <c r="A148" s="647" t="s">
        <v>1150</v>
      </c>
      <c r="B148" s="647"/>
      <c r="C148" s="647"/>
      <c r="D148" s="647"/>
      <c r="E148" s="647"/>
      <c r="F148" s="647"/>
      <c r="G148" s="648"/>
      <c r="H148" s="649"/>
      <c r="I148" s="650"/>
      <c r="J148" s="650"/>
      <c r="K148" s="646"/>
      <c r="L148" s="651"/>
      <c r="M148" s="1223"/>
      <c r="N148" s="652"/>
      <c r="O148" s="652"/>
    </row>
    <row r="149" spans="1:16" s="642" customFormat="1" x14ac:dyDescent="0.2">
      <c r="A149" s="654"/>
      <c r="B149" s="654"/>
      <c r="C149" s="655"/>
      <c r="D149" s="654"/>
      <c r="E149" s="656"/>
      <c r="F149" s="655"/>
      <c r="G149" s="657"/>
      <c r="H149" s="658"/>
      <c r="I149" s="659"/>
      <c r="J149" s="659"/>
      <c r="K149" s="659"/>
      <c r="L149" s="660"/>
      <c r="M149" s="1223"/>
      <c r="N149" s="61"/>
      <c r="O149" s="61"/>
    </row>
    <row r="150" spans="1:16" s="662" customFormat="1" ht="24" x14ac:dyDescent="0.25">
      <c r="A150" s="1385" t="s">
        <v>788</v>
      </c>
      <c r="B150" s="1386"/>
      <c r="C150" s="1386"/>
      <c r="D150" s="1386"/>
      <c r="E150" s="1386"/>
      <c r="F150" s="1386"/>
      <c r="G150" s="1386"/>
      <c r="H150" s="1387"/>
      <c r="I150" s="661" t="s">
        <v>414</v>
      </c>
      <c r="J150" s="567" t="s">
        <v>207</v>
      </c>
      <c r="K150" s="659"/>
      <c r="L150" s="660"/>
      <c r="M150" s="1220"/>
      <c r="N150" s="651"/>
      <c r="O150" s="641"/>
      <c r="P150" s="641"/>
    </row>
    <row r="151" spans="1:16" s="662" customFormat="1" ht="15" x14ac:dyDescent="0.25">
      <c r="A151" s="1382">
        <v>1</v>
      </c>
      <c r="B151" s="1383"/>
      <c r="C151" s="1383"/>
      <c r="D151" s="1383"/>
      <c r="E151" s="1383"/>
      <c r="F151" s="1383"/>
      <c r="G151" s="1383"/>
      <c r="H151" s="1384"/>
      <c r="I151" s="663">
        <v>2</v>
      </c>
      <c r="J151" s="664">
        <v>3</v>
      </c>
      <c r="K151" s="659"/>
      <c r="L151" s="660"/>
      <c r="M151" s="1220"/>
      <c r="N151" s="651"/>
      <c r="O151" s="641"/>
      <c r="P151" s="641"/>
    </row>
    <row r="152" spans="1:16" s="662" customFormat="1" ht="15" x14ac:dyDescent="0.25">
      <c r="A152" s="665" t="s">
        <v>236</v>
      </c>
      <c r="B152" s="666"/>
      <c r="C152" s="667"/>
      <c r="D152" s="666"/>
      <c r="E152" s="668"/>
      <c r="F152" s="667"/>
      <c r="G152" s="669"/>
      <c r="H152" s="670"/>
      <c r="I152" s="671"/>
      <c r="J152" s="672"/>
      <c r="K152" s="659"/>
      <c r="L152" s="660"/>
      <c r="M152" s="1220"/>
      <c r="N152" s="651"/>
      <c r="O152" s="641"/>
      <c r="P152" s="641"/>
    </row>
    <row r="153" spans="1:16" s="662" customFormat="1" ht="15" x14ac:dyDescent="0.25">
      <c r="A153" s="1420" t="s">
        <v>237</v>
      </c>
      <c r="B153" s="1421"/>
      <c r="C153" s="1421"/>
      <c r="D153" s="1421"/>
      <c r="E153" s="1421"/>
      <c r="F153" s="1421"/>
      <c r="G153" s="1421"/>
      <c r="H153" s="1422"/>
      <c r="I153" s="673"/>
      <c r="J153" s="674">
        <f>J154+J165</f>
        <v>4176435648.9000001</v>
      </c>
      <c r="K153" s="659"/>
      <c r="L153" s="660"/>
      <c r="M153" s="1223"/>
      <c r="N153" s="675"/>
      <c r="O153" s="675"/>
    </row>
    <row r="154" spans="1:16" s="662" customFormat="1" ht="15" customHeight="1" x14ac:dyDescent="0.25">
      <c r="A154" s="1374" t="s">
        <v>238</v>
      </c>
      <c r="B154" s="1375"/>
      <c r="C154" s="1375"/>
      <c r="D154" s="1375"/>
      <c r="E154" s="1375"/>
      <c r="F154" s="1375"/>
      <c r="G154" s="1375"/>
      <c r="H154" s="1376"/>
      <c r="I154" s="676">
        <v>7</v>
      </c>
      <c r="J154" s="133">
        <f>SUM(K30+K37+K42+K50+K52+K55+K58+K63+K69+K75+K77+K73)</f>
        <v>3650361448.9000001</v>
      </c>
      <c r="K154" s="659"/>
      <c r="L154" s="660"/>
      <c r="M154" s="1223"/>
      <c r="N154" s="675"/>
      <c r="O154" s="675"/>
    </row>
    <row r="155" spans="1:16" s="662" customFormat="1" ht="15" customHeight="1" x14ac:dyDescent="0.25">
      <c r="A155" s="1350" t="s">
        <v>239</v>
      </c>
      <c r="B155" s="1351"/>
      <c r="C155" s="1351"/>
      <c r="D155" s="1351"/>
      <c r="E155" s="1351"/>
      <c r="F155" s="1351"/>
      <c r="G155" s="1351"/>
      <c r="H155" s="1352"/>
      <c r="I155" s="676" t="s">
        <v>415</v>
      </c>
      <c r="J155" s="133">
        <f>SUM(K30+K37+K42+K50)</f>
        <v>1989953000</v>
      </c>
      <c r="K155" s="659"/>
      <c r="L155" s="660"/>
      <c r="M155" s="1223"/>
      <c r="N155" s="675"/>
      <c r="O155" s="675"/>
    </row>
    <row r="156" spans="1:16" s="662" customFormat="1" ht="15" customHeight="1" x14ac:dyDescent="0.25">
      <c r="A156" s="1350" t="s">
        <v>240</v>
      </c>
      <c r="B156" s="1351"/>
      <c r="C156" s="1351"/>
      <c r="D156" s="1351"/>
      <c r="E156" s="1351"/>
      <c r="F156" s="1351"/>
      <c r="G156" s="1351"/>
      <c r="H156" s="1352"/>
      <c r="I156" s="676" t="s">
        <v>416</v>
      </c>
      <c r="J156" s="133">
        <f>SUM(K30)</f>
        <v>1117000000</v>
      </c>
      <c r="K156" s="659"/>
      <c r="L156" s="660"/>
      <c r="M156" s="1223"/>
      <c r="N156" s="675"/>
      <c r="O156" s="675"/>
    </row>
    <row r="157" spans="1:16" s="662" customFormat="1" ht="15" customHeight="1" x14ac:dyDescent="0.25">
      <c r="A157" s="1350" t="s">
        <v>241</v>
      </c>
      <c r="B157" s="1351"/>
      <c r="C157" s="1351"/>
      <c r="D157" s="1351"/>
      <c r="E157" s="1351"/>
      <c r="F157" s="1351"/>
      <c r="G157" s="1351"/>
      <c r="H157" s="1352"/>
      <c r="I157" s="677" t="s">
        <v>417</v>
      </c>
      <c r="J157" s="133">
        <f>SUM(K42)</f>
        <v>177100000</v>
      </c>
      <c r="K157" s="659"/>
      <c r="L157" s="660"/>
      <c r="M157" s="1223"/>
      <c r="N157" s="675"/>
      <c r="O157" s="675"/>
    </row>
    <row r="158" spans="1:16" s="662" customFormat="1" ht="15" customHeight="1" x14ac:dyDescent="0.25">
      <c r="A158" s="1350" t="s">
        <v>242</v>
      </c>
      <c r="B158" s="1351"/>
      <c r="C158" s="1351"/>
      <c r="D158" s="1351"/>
      <c r="E158" s="1351"/>
      <c r="F158" s="1351"/>
      <c r="G158" s="1351"/>
      <c r="H158" s="1352"/>
      <c r="I158" s="677" t="s">
        <v>418</v>
      </c>
      <c r="J158" s="133">
        <f>SUM(K50+K37)</f>
        <v>695853000</v>
      </c>
      <c r="K158" s="659"/>
      <c r="L158" s="660"/>
      <c r="M158" s="1223"/>
      <c r="N158" s="675"/>
      <c r="O158" s="675"/>
    </row>
    <row r="159" spans="1:16" s="662" customFormat="1" ht="15" customHeight="1" x14ac:dyDescent="0.25">
      <c r="A159" s="1350" t="s">
        <v>243</v>
      </c>
      <c r="B159" s="1351"/>
      <c r="C159" s="1351"/>
      <c r="D159" s="1351"/>
      <c r="E159" s="1351"/>
      <c r="F159" s="1351"/>
      <c r="G159" s="1351"/>
      <c r="H159" s="1352"/>
      <c r="I159" s="677" t="s">
        <v>419</v>
      </c>
      <c r="J159" s="133">
        <f>SUM(K58+K63+K69+K75+K73)</f>
        <v>785640000</v>
      </c>
      <c r="K159" s="659"/>
      <c r="L159" s="660"/>
      <c r="M159" s="1223"/>
      <c r="N159" s="675"/>
      <c r="O159" s="675"/>
    </row>
    <row r="160" spans="1:16" s="662" customFormat="1" ht="15" customHeight="1" x14ac:dyDescent="0.25">
      <c r="A160" s="1378" t="s">
        <v>244</v>
      </c>
      <c r="B160" s="1379"/>
      <c r="C160" s="1379"/>
      <c r="D160" s="1379"/>
      <c r="E160" s="1379"/>
      <c r="F160" s="1379"/>
      <c r="G160" s="1379"/>
      <c r="H160" s="1380"/>
      <c r="I160" s="677" t="s">
        <v>420</v>
      </c>
      <c r="J160" s="133">
        <f>SUM(K59)</f>
        <v>150000</v>
      </c>
      <c r="K160" s="659"/>
      <c r="L160" s="660"/>
      <c r="M160" s="1223"/>
      <c r="N160" s="675"/>
      <c r="O160" s="675"/>
    </row>
    <row r="161" spans="1:15" s="662" customFormat="1" ht="15" customHeight="1" x14ac:dyDescent="0.25">
      <c r="A161" s="1378" t="s">
        <v>245</v>
      </c>
      <c r="B161" s="1379"/>
      <c r="C161" s="1379"/>
      <c r="D161" s="1379"/>
      <c r="E161" s="1379"/>
      <c r="F161" s="1379"/>
      <c r="G161" s="1379"/>
      <c r="H161" s="1380"/>
      <c r="I161" s="677" t="s">
        <v>421</v>
      </c>
      <c r="J161" s="133">
        <f>SUM(K61+K62+K60)</f>
        <v>400500000</v>
      </c>
      <c r="K161" s="659"/>
      <c r="L161" s="660"/>
      <c r="M161" s="1223"/>
      <c r="N161" s="675"/>
      <c r="O161" s="675"/>
    </row>
    <row r="162" spans="1:15" s="662" customFormat="1" ht="15" customHeight="1" x14ac:dyDescent="0.25">
      <c r="A162" s="678" t="s">
        <v>465</v>
      </c>
      <c r="B162" s="679"/>
      <c r="C162" s="680"/>
      <c r="D162" s="681"/>
      <c r="E162" s="682"/>
      <c r="F162" s="680"/>
      <c r="G162" s="683"/>
      <c r="H162" s="684"/>
      <c r="I162" s="677" t="s">
        <v>422</v>
      </c>
      <c r="J162" s="207"/>
      <c r="K162" s="659"/>
      <c r="L162" s="660"/>
      <c r="M162" s="1223"/>
      <c r="N162" s="675"/>
      <c r="O162" s="675"/>
    </row>
    <row r="163" spans="1:15" s="662" customFormat="1" ht="15" customHeight="1" x14ac:dyDescent="0.25">
      <c r="A163" s="1350" t="s">
        <v>246</v>
      </c>
      <c r="B163" s="1351"/>
      <c r="C163" s="1351"/>
      <c r="D163" s="1351"/>
      <c r="E163" s="1351"/>
      <c r="F163" s="1351"/>
      <c r="G163" s="1351"/>
      <c r="H163" s="1352"/>
      <c r="I163" s="677" t="s">
        <v>423</v>
      </c>
      <c r="J163" s="133">
        <f>SUM(K52)</f>
        <v>19925000</v>
      </c>
      <c r="K163" s="659"/>
      <c r="L163" s="660"/>
      <c r="M163" s="1223"/>
      <c r="N163" s="675"/>
      <c r="O163" s="675"/>
    </row>
    <row r="164" spans="1:15" s="662" customFormat="1" ht="15" customHeight="1" x14ac:dyDescent="0.25">
      <c r="A164" s="1350" t="s">
        <v>247</v>
      </c>
      <c r="B164" s="1351"/>
      <c r="C164" s="1351"/>
      <c r="D164" s="1351"/>
      <c r="E164" s="1351"/>
      <c r="F164" s="1351"/>
      <c r="G164" s="1351"/>
      <c r="H164" s="1352"/>
      <c r="I164" s="677" t="s">
        <v>424</v>
      </c>
      <c r="J164" s="133">
        <f>SUM(K55)</f>
        <v>851035648.89999998</v>
      </c>
      <c r="K164" s="659"/>
      <c r="L164" s="660"/>
      <c r="M164" s="1223"/>
      <c r="N164" s="675"/>
      <c r="O164" s="675"/>
    </row>
    <row r="165" spans="1:15" s="662" customFormat="1" ht="15" customHeight="1" x14ac:dyDescent="0.25">
      <c r="A165" s="1374" t="s">
        <v>248</v>
      </c>
      <c r="B165" s="1375"/>
      <c r="C165" s="1375"/>
      <c r="D165" s="1375"/>
      <c r="E165" s="1375"/>
      <c r="F165" s="1375"/>
      <c r="G165" s="1375"/>
      <c r="H165" s="1376"/>
      <c r="I165" s="677" t="s">
        <v>366</v>
      </c>
      <c r="J165" s="133">
        <f>SUM(K85+K83+K79+K81)</f>
        <v>526074200</v>
      </c>
      <c r="K165" s="659"/>
      <c r="L165" s="660"/>
      <c r="M165" s="1223"/>
      <c r="N165" s="675"/>
      <c r="O165" s="675"/>
    </row>
    <row r="166" spans="1:15" s="662" customFormat="1" ht="15" customHeight="1" x14ac:dyDescent="0.25">
      <c r="A166" s="1388" t="s">
        <v>249</v>
      </c>
      <c r="B166" s="1389"/>
      <c r="C166" s="1389"/>
      <c r="D166" s="1389"/>
      <c r="E166" s="1389"/>
      <c r="F166" s="1389"/>
      <c r="G166" s="1389"/>
      <c r="H166" s="1390"/>
      <c r="I166" s="685"/>
      <c r="J166" s="170">
        <f>J167+J176</f>
        <v>4644462000</v>
      </c>
      <c r="K166" s="659"/>
      <c r="L166" s="660"/>
      <c r="M166" s="1223"/>
      <c r="N166" s="675"/>
      <c r="O166" s="675"/>
    </row>
    <row r="167" spans="1:15" s="662" customFormat="1" ht="15" customHeight="1" x14ac:dyDescent="0.25">
      <c r="A167" s="686" t="s">
        <v>466</v>
      </c>
      <c r="B167" s="687"/>
      <c r="C167" s="688"/>
      <c r="D167" s="687"/>
      <c r="E167" s="689"/>
      <c r="F167" s="688"/>
      <c r="G167" s="690"/>
      <c r="H167" s="691"/>
      <c r="I167" s="677" t="s">
        <v>363</v>
      </c>
      <c r="J167" s="133">
        <f>SUM(K95+K102+K109+K111+K114+K117+K121+K123+K128)</f>
        <v>2708360972.4699998</v>
      </c>
      <c r="K167" s="659"/>
      <c r="L167" s="660"/>
      <c r="M167" s="1223"/>
      <c r="N167" s="675"/>
      <c r="O167" s="675"/>
    </row>
    <row r="168" spans="1:15" s="662" customFormat="1" ht="15" customHeight="1" x14ac:dyDescent="0.25">
      <c r="A168" s="1350" t="s">
        <v>250</v>
      </c>
      <c r="B168" s="1351"/>
      <c r="C168" s="1351"/>
      <c r="D168" s="1351"/>
      <c r="E168" s="1351"/>
      <c r="F168" s="1351"/>
      <c r="G168" s="1351"/>
      <c r="H168" s="1352"/>
      <c r="I168" s="677" t="s">
        <v>425</v>
      </c>
      <c r="J168" s="133">
        <f>SUM(K95)</f>
        <v>338313009</v>
      </c>
      <c r="K168" s="659"/>
      <c r="L168" s="660"/>
      <c r="M168" s="1223"/>
      <c r="N168" s="675"/>
      <c r="O168" s="675"/>
    </row>
    <row r="169" spans="1:15" s="662" customFormat="1" ht="15" customHeight="1" x14ac:dyDescent="0.25">
      <c r="A169" s="1350" t="s">
        <v>251</v>
      </c>
      <c r="B169" s="1351"/>
      <c r="C169" s="1351"/>
      <c r="D169" s="1351"/>
      <c r="E169" s="1351"/>
      <c r="F169" s="1351"/>
      <c r="G169" s="1351"/>
      <c r="H169" s="1352"/>
      <c r="I169" s="677" t="s">
        <v>426</v>
      </c>
      <c r="J169" s="133">
        <f>SUM(K102)</f>
        <v>1151706268.02</v>
      </c>
      <c r="K169" s="659"/>
      <c r="L169" s="660"/>
      <c r="M169" s="1223"/>
      <c r="N169" s="675"/>
      <c r="O169" s="675"/>
    </row>
    <row r="170" spans="1:15" s="662" customFormat="1" ht="15" customHeight="1" x14ac:dyDescent="0.25">
      <c r="A170" s="1350" t="s">
        <v>252</v>
      </c>
      <c r="B170" s="1351"/>
      <c r="C170" s="1351"/>
      <c r="D170" s="1351"/>
      <c r="E170" s="1351"/>
      <c r="F170" s="1351"/>
      <c r="G170" s="1351"/>
      <c r="H170" s="1352"/>
      <c r="I170" s="677" t="s">
        <v>427</v>
      </c>
      <c r="J170" s="133">
        <f>SUM(K111)</f>
        <v>6774000</v>
      </c>
      <c r="K170" s="659"/>
      <c r="L170" s="660"/>
      <c r="M170" s="1223"/>
      <c r="N170" s="675"/>
      <c r="O170" s="675"/>
    </row>
    <row r="171" spans="1:15" s="662" customFormat="1" ht="15" customHeight="1" x14ac:dyDescent="0.25">
      <c r="A171" s="1377" t="s">
        <v>253</v>
      </c>
      <c r="B171" s="1377"/>
      <c r="C171" s="1377"/>
      <c r="D171" s="1377"/>
      <c r="E171" s="1377"/>
      <c r="F171" s="1377"/>
      <c r="G171" s="1377"/>
      <c r="H171" s="1377"/>
      <c r="I171" s="677" t="s">
        <v>428</v>
      </c>
      <c r="J171" s="133">
        <f>SUM(K114)</f>
        <v>211007010</v>
      </c>
      <c r="K171" s="659"/>
      <c r="L171" s="660"/>
      <c r="M171" s="1223"/>
      <c r="N171" s="675"/>
      <c r="O171" s="675"/>
    </row>
    <row r="172" spans="1:15" s="662" customFormat="1" ht="15" customHeight="1" x14ac:dyDescent="0.25">
      <c r="A172" s="1350" t="s">
        <v>254</v>
      </c>
      <c r="B172" s="1351"/>
      <c r="C172" s="1351"/>
      <c r="D172" s="1351"/>
      <c r="E172" s="1351"/>
      <c r="F172" s="1351"/>
      <c r="G172" s="1351"/>
      <c r="H172" s="1352"/>
      <c r="I172" s="677" t="s">
        <v>429</v>
      </c>
      <c r="J172" s="692">
        <f>SUM(K121)</f>
        <v>338963222.39999998</v>
      </c>
      <c r="K172" s="693"/>
      <c r="L172" s="694"/>
      <c r="M172" s="1223"/>
      <c r="N172" s="675"/>
      <c r="O172" s="675"/>
    </row>
    <row r="173" spans="1:15" s="662" customFormat="1" ht="15" customHeight="1" x14ac:dyDescent="0.25">
      <c r="A173" s="1350" t="s">
        <v>255</v>
      </c>
      <c r="B173" s="1351"/>
      <c r="C173" s="1351"/>
      <c r="D173" s="1351"/>
      <c r="E173" s="1351"/>
      <c r="F173" s="1351"/>
      <c r="G173" s="1351"/>
      <c r="H173" s="1352"/>
      <c r="I173" s="677" t="s">
        <v>430</v>
      </c>
      <c r="J173" s="133">
        <f>SUM(K123+K128)</f>
        <v>250571698</v>
      </c>
      <c r="K173" s="659"/>
      <c r="L173" s="660"/>
      <c r="M173" s="1223"/>
      <c r="N173" s="675"/>
      <c r="O173" s="675"/>
    </row>
    <row r="174" spans="1:15" s="662" customFormat="1" ht="15" customHeight="1" x14ac:dyDescent="0.25">
      <c r="A174" s="1350" t="s">
        <v>256</v>
      </c>
      <c r="B174" s="1351"/>
      <c r="C174" s="1351"/>
      <c r="D174" s="1351"/>
      <c r="E174" s="1351"/>
      <c r="F174" s="1351"/>
      <c r="G174" s="1351"/>
      <c r="H174" s="1352"/>
      <c r="I174" s="677" t="s">
        <v>431</v>
      </c>
      <c r="J174" s="1250">
        <v>214494050</v>
      </c>
      <c r="K174" s="695"/>
      <c r="L174" s="660"/>
      <c r="M174" s="1223"/>
      <c r="N174" s="675"/>
      <c r="O174" s="675"/>
    </row>
    <row r="175" spans="1:15" s="662" customFormat="1" ht="15" customHeight="1" x14ac:dyDescent="0.25">
      <c r="A175" s="1350" t="s">
        <v>257</v>
      </c>
      <c r="B175" s="1351"/>
      <c r="C175" s="1351"/>
      <c r="D175" s="1351"/>
      <c r="E175" s="1351"/>
      <c r="F175" s="1351"/>
      <c r="G175" s="1351"/>
      <c r="H175" s="1352"/>
      <c r="I175" s="677" t="s">
        <v>432</v>
      </c>
      <c r="J175" s="1250">
        <v>41794724.049999997</v>
      </c>
      <c r="K175" s="695"/>
      <c r="L175" s="660"/>
      <c r="M175" s="1223"/>
      <c r="N175" s="675"/>
      <c r="O175" s="675"/>
    </row>
    <row r="176" spans="1:15" s="662" customFormat="1" ht="15" customHeight="1" x14ac:dyDescent="0.25">
      <c r="A176" s="1374" t="s">
        <v>258</v>
      </c>
      <c r="B176" s="1375"/>
      <c r="C176" s="1375"/>
      <c r="D176" s="1375"/>
      <c r="E176" s="1375"/>
      <c r="F176" s="1375"/>
      <c r="G176" s="1375"/>
      <c r="H176" s="1376"/>
      <c r="I176" s="677" t="s">
        <v>364</v>
      </c>
      <c r="J176" s="133">
        <f>SUM(K130+K135+K137)</f>
        <v>1936101027.53</v>
      </c>
      <c r="K176" s="659"/>
      <c r="L176" s="660"/>
      <c r="M176" s="1223"/>
      <c r="N176" s="675"/>
      <c r="O176" s="675"/>
    </row>
    <row r="177" spans="1:15" s="662" customFormat="1" ht="15" customHeight="1" x14ac:dyDescent="0.25">
      <c r="A177" s="1423" t="s">
        <v>259</v>
      </c>
      <c r="B177" s="1424"/>
      <c r="C177" s="1424"/>
      <c r="D177" s="1424"/>
      <c r="E177" s="1424"/>
      <c r="F177" s="1424"/>
      <c r="G177" s="1424"/>
      <c r="H177" s="1425"/>
      <c r="I177" s="696" t="s">
        <v>433</v>
      </c>
      <c r="J177" s="162">
        <f>(J154+J165)-(J167+J176)</f>
        <v>-468026351.0999999</v>
      </c>
      <c r="K177" s="659"/>
      <c r="L177" s="660"/>
      <c r="M177" s="1223"/>
      <c r="N177" s="675"/>
      <c r="O177" s="675"/>
    </row>
    <row r="178" spans="1:15" s="662" customFormat="1" ht="24.75" customHeight="1" x14ac:dyDescent="0.25">
      <c r="A178" s="1371" t="s">
        <v>454</v>
      </c>
      <c r="B178" s="1372"/>
      <c r="C178" s="1372"/>
      <c r="D178" s="1372"/>
      <c r="E178" s="1372"/>
      <c r="F178" s="1372"/>
      <c r="G178" s="1372"/>
      <c r="H178" s="1373"/>
      <c r="I178" s="677" t="s">
        <v>452</v>
      </c>
      <c r="J178" s="133">
        <f>(J154-J160+J165)-(J167-J170+J176)</f>
        <v>-461402351.0999999</v>
      </c>
      <c r="K178" s="659"/>
      <c r="L178" s="660"/>
      <c r="M178" s="1223"/>
      <c r="N178" s="675"/>
      <c r="O178" s="675"/>
    </row>
    <row r="179" spans="1:15" s="662" customFormat="1" ht="15" customHeight="1" x14ac:dyDescent="0.25">
      <c r="A179" s="1426" t="s">
        <v>455</v>
      </c>
      <c r="B179" s="1427"/>
      <c r="C179" s="1427"/>
      <c r="D179" s="1427"/>
      <c r="E179" s="1427"/>
      <c r="F179" s="1427"/>
      <c r="G179" s="1427"/>
      <c r="H179" s="1428"/>
      <c r="I179" s="697"/>
      <c r="J179" s="698">
        <f>J177+J183</f>
        <v>-468126351.0999999</v>
      </c>
      <c r="K179" s="659"/>
      <c r="L179" s="660"/>
      <c r="M179" s="1223"/>
      <c r="N179" s="675"/>
      <c r="O179" s="675"/>
    </row>
    <row r="180" spans="1:15" s="662" customFormat="1" ht="24.75" customHeight="1" x14ac:dyDescent="0.25">
      <c r="A180" s="1432" t="s">
        <v>456</v>
      </c>
      <c r="B180" s="1433"/>
      <c r="C180" s="1433"/>
      <c r="D180" s="1433"/>
      <c r="E180" s="1433"/>
      <c r="F180" s="1433"/>
      <c r="G180" s="1433"/>
      <c r="H180" s="1433"/>
      <c r="I180" s="699"/>
      <c r="J180" s="672"/>
      <c r="K180" s="659"/>
      <c r="L180" s="660"/>
      <c r="M180" s="1223"/>
      <c r="N180" s="675"/>
      <c r="O180" s="675"/>
    </row>
    <row r="181" spans="1:15" s="662" customFormat="1" ht="15" customHeight="1" x14ac:dyDescent="0.25">
      <c r="A181" s="1437" t="s">
        <v>457</v>
      </c>
      <c r="B181" s="1438"/>
      <c r="C181" s="1438"/>
      <c r="D181" s="1438"/>
      <c r="E181" s="1438"/>
      <c r="F181" s="1438"/>
      <c r="G181" s="1438"/>
      <c r="H181" s="1439"/>
      <c r="I181" s="700" t="s">
        <v>434</v>
      </c>
      <c r="J181" s="701"/>
      <c r="K181" s="659"/>
      <c r="L181" s="660"/>
      <c r="M181" s="1223"/>
      <c r="N181" s="675"/>
      <c r="O181" s="675"/>
    </row>
    <row r="182" spans="1:15" s="662" customFormat="1" ht="15" customHeight="1" x14ac:dyDescent="0.25">
      <c r="A182" s="702" t="s">
        <v>1007</v>
      </c>
      <c r="B182" s="703"/>
      <c r="C182" s="704"/>
      <c r="D182" s="703"/>
      <c r="E182" s="705"/>
      <c r="F182" s="704"/>
      <c r="G182" s="706"/>
      <c r="H182" s="707"/>
      <c r="I182" s="696" t="s">
        <v>439</v>
      </c>
      <c r="J182" s="162">
        <f>SUM(K141)</f>
        <v>100000</v>
      </c>
      <c r="K182" s="659"/>
      <c r="L182" s="660"/>
      <c r="M182" s="1223"/>
      <c r="N182" s="675"/>
      <c r="O182" s="675"/>
    </row>
    <row r="183" spans="1:15" s="662" customFormat="1" ht="29.25" customHeight="1" x14ac:dyDescent="0.25">
      <c r="A183" s="1429" t="s">
        <v>468</v>
      </c>
      <c r="B183" s="1430"/>
      <c r="C183" s="1430"/>
      <c r="D183" s="1430"/>
      <c r="E183" s="1430"/>
      <c r="F183" s="1430"/>
      <c r="G183" s="1430"/>
      <c r="H183" s="1431"/>
      <c r="I183" s="708" t="s">
        <v>453</v>
      </c>
      <c r="J183" s="709">
        <f>SUM(J181-J182)</f>
        <v>-100000</v>
      </c>
      <c r="K183" s="659"/>
      <c r="L183" s="660"/>
      <c r="M183" s="1223"/>
      <c r="N183" s="675"/>
      <c r="O183" s="675"/>
    </row>
    <row r="184" spans="1:15" s="662" customFormat="1" ht="15" customHeight="1" x14ac:dyDescent="0.25">
      <c r="A184" s="1432" t="s">
        <v>467</v>
      </c>
      <c r="B184" s="1433"/>
      <c r="C184" s="1433"/>
      <c r="D184" s="1433"/>
      <c r="E184" s="1433"/>
      <c r="F184" s="1433"/>
      <c r="G184" s="1433"/>
      <c r="H184" s="1433"/>
      <c r="I184" s="699"/>
      <c r="J184" s="672"/>
      <c r="K184" s="659"/>
      <c r="L184" s="660"/>
      <c r="M184" s="1223"/>
      <c r="N184" s="675"/>
      <c r="O184" s="675"/>
    </row>
    <row r="185" spans="1:15" s="662" customFormat="1" ht="18.75" customHeight="1" x14ac:dyDescent="0.25">
      <c r="A185" s="1434" t="s">
        <v>458</v>
      </c>
      <c r="B185" s="1435"/>
      <c r="C185" s="1435"/>
      <c r="D185" s="1435"/>
      <c r="E185" s="1435"/>
      <c r="F185" s="1435"/>
      <c r="G185" s="1435"/>
      <c r="H185" s="1436"/>
      <c r="I185" s="700" t="s">
        <v>435</v>
      </c>
      <c r="J185" s="701">
        <v>468126351.10000002</v>
      </c>
      <c r="K185" s="659"/>
      <c r="L185" s="660"/>
      <c r="M185" s="1223"/>
      <c r="N185" s="675"/>
      <c r="O185" s="675"/>
    </row>
    <row r="186" spans="1:15" s="662" customFormat="1" ht="18" customHeight="1" x14ac:dyDescent="0.25">
      <c r="A186" s="1350" t="s">
        <v>459</v>
      </c>
      <c r="B186" s="1351"/>
      <c r="C186" s="1351"/>
      <c r="D186" s="1351"/>
      <c r="E186" s="1351"/>
      <c r="F186" s="1351"/>
      <c r="G186" s="1351"/>
      <c r="H186" s="1352"/>
      <c r="I186" s="677" t="s">
        <v>436</v>
      </c>
      <c r="J186" s="133">
        <f>SUM(K88)</f>
        <v>468126351.10000002</v>
      </c>
      <c r="K186" s="659"/>
      <c r="L186" s="660"/>
      <c r="M186" s="1223"/>
      <c r="N186" s="675"/>
      <c r="O186" s="675"/>
    </row>
    <row r="187" spans="1:15" s="662" customFormat="1" ht="15.75" customHeight="1" x14ac:dyDescent="0.25">
      <c r="A187" s="1350" t="s">
        <v>460</v>
      </c>
      <c r="B187" s="1351"/>
      <c r="C187" s="1351"/>
      <c r="D187" s="1351"/>
      <c r="E187" s="1351"/>
      <c r="F187" s="1351"/>
      <c r="G187" s="1351"/>
      <c r="H187" s="1352"/>
      <c r="I187" s="677" t="s">
        <v>437</v>
      </c>
      <c r="J187" s="133">
        <v>468126351.10000002</v>
      </c>
      <c r="K187" s="659"/>
      <c r="L187" s="660"/>
      <c r="M187" s="1223"/>
      <c r="N187" s="675"/>
      <c r="O187" s="675"/>
    </row>
    <row r="188" spans="1:15" s="662" customFormat="1" ht="36" customHeight="1" x14ac:dyDescent="0.25">
      <c r="A188" s="1350" t="s">
        <v>260</v>
      </c>
      <c r="B188" s="1351"/>
      <c r="C188" s="1351"/>
      <c r="D188" s="1351"/>
      <c r="E188" s="1351"/>
      <c r="F188" s="1351"/>
      <c r="G188" s="1351"/>
      <c r="H188" s="1352"/>
      <c r="I188" s="710" t="s">
        <v>461</v>
      </c>
      <c r="J188" s="207"/>
      <c r="K188" s="659"/>
      <c r="L188" s="660"/>
      <c r="M188" s="1223"/>
      <c r="N188" s="675"/>
      <c r="O188" s="675"/>
    </row>
    <row r="189" spans="1:15" s="662" customFormat="1" ht="18" customHeight="1" x14ac:dyDescent="0.25">
      <c r="A189" s="1350" t="s">
        <v>261</v>
      </c>
      <c r="B189" s="1351"/>
      <c r="C189" s="1351"/>
      <c r="D189" s="1351"/>
      <c r="E189" s="1351"/>
      <c r="F189" s="1351"/>
      <c r="G189" s="1351"/>
      <c r="H189" s="1352"/>
      <c r="I189" s="677" t="s">
        <v>438</v>
      </c>
      <c r="J189" s="207"/>
      <c r="K189" s="659"/>
      <c r="L189" s="660"/>
      <c r="M189" s="1223"/>
      <c r="N189" s="675"/>
      <c r="O189" s="675"/>
    </row>
    <row r="190" spans="1:15" s="662" customFormat="1" ht="17.25" customHeight="1" x14ac:dyDescent="0.25">
      <c r="A190" s="1362" t="s">
        <v>462</v>
      </c>
      <c r="B190" s="1363"/>
      <c r="C190" s="1363"/>
      <c r="D190" s="1363"/>
      <c r="E190" s="1363"/>
      <c r="F190" s="1363"/>
      <c r="G190" s="1363"/>
      <c r="H190" s="1364"/>
      <c r="I190" s="696" t="s">
        <v>440</v>
      </c>
      <c r="J190" s="162">
        <f>SUM(K139)</f>
        <v>0</v>
      </c>
      <c r="K190" s="659"/>
      <c r="L190" s="660"/>
      <c r="M190" s="1223"/>
      <c r="N190" s="675"/>
      <c r="O190" s="675"/>
    </row>
    <row r="191" spans="1:15" s="662" customFormat="1" ht="17.25" customHeight="1" x14ac:dyDescent="0.25">
      <c r="A191" s="1350" t="s">
        <v>262</v>
      </c>
      <c r="B191" s="1351"/>
      <c r="C191" s="1351"/>
      <c r="D191" s="1351"/>
      <c r="E191" s="1351"/>
      <c r="F191" s="1351"/>
      <c r="G191" s="1351"/>
      <c r="H191" s="1352"/>
      <c r="I191" s="677" t="s">
        <v>441</v>
      </c>
      <c r="J191" s="133">
        <f>SUM(K140)</f>
        <v>0</v>
      </c>
      <c r="K191" s="659"/>
      <c r="L191" s="660"/>
      <c r="M191" s="1223"/>
      <c r="N191" s="675"/>
      <c r="O191" s="675"/>
    </row>
    <row r="192" spans="1:15" s="662" customFormat="1" ht="18" customHeight="1" x14ac:dyDescent="0.25">
      <c r="A192" s="1350" t="s">
        <v>413</v>
      </c>
      <c r="B192" s="1351"/>
      <c r="C192" s="1351"/>
      <c r="D192" s="1351"/>
      <c r="E192" s="1351"/>
      <c r="F192" s="1351"/>
      <c r="G192" s="1351"/>
      <c r="H192" s="1352"/>
      <c r="I192" s="677" t="s">
        <v>442</v>
      </c>
      <c r="J192" s="133">
        <f>SUM(J191)</f>
        <v>0</v>
      </c>
      <c r="K192" s="659"/>
      <c r="L192" s="660"/>
      <c r="M192" s="1223"/>
      <c r="N192" s="675"/>
      <c r="O192" s="675"/>
    </row>
    <row r="193" spans="1:16" s="662" customFormat="1" ht="36" customHeight="1" x14ac:dyDescent="0.25">
      <c r="A193" s="1350" t="s">
        <v>263</v>
      </c>
      <c r="B193" s="1351"/>
      <c r="C193" s="1351"/>
      <c r="D193" s="1351"/>
      <c r="E193" s="1351"/>
      <c r="F193" s="1351"/>
      <c r="G193" s="1351"/>
      <c r="H193" s="1352"/>
      <c r="I193" s="710" t="s">
        <v>463</v>
      </c>
      <c r="J193" s="207"/>
      <c r="K193" s="659"/>
      <c r="L193" s="660"/>
      <c r="M193" s="1223"/>
      <c r="N193" s="675"/>
      <c r="O193" s="675"/>
    </row>
    <row r="194" spans="1:16" s="662" customFormat="1" ht="15" customHeight="1" x14ac:dyDescent="0.25">
      <c r="A194" s="1350" t="s">
        <v>264</v>
      </c>
      <c r="B194" s="1351"/>
      <c r="C194" s="1351"/>
      <c r="D194" s="1351"/>
      <c r="E194" s="1351"/>
      <c r="F194" s="1351"/>
      <c r="G194" s="1351"/>
      <c r="H194" s="1352"/>
      <c r="I194" s="676" t="s">
        <v>443</v>
      </c>
      <c r="J194" s="207"/>
      <c r="K194" s="659"/>
      <c r="L194" s="660"/>
      <c r="M194" s="1223"/>
      <c r="N194" s="675"/>
      <c r="O194" s="675"/>
    </row>
    <row r="195" spans="1:16" s="662" customFormat="1" ht="15" customHeight="1" x14ac:dyDescent="0.25">
      <c r="A195" s="1365" t="s">
        <v>469</v>
      </c>
      <c r="B195" s="1366"/>
      <c r="C195" s="1366"/>
      <c r="D195" s="1366"/>
      <c r="E195" s="1366"/>
      <c r="F195" s="1366"/>
      <c r="G195" s="1366"/>
      <c r="H195" s="1367"/>
      <c r="I195" s="711"/>
      <c r="J195" s="162">
        <f>SUM(J177+J183+J185-J190)</f>
        <v>1.1920928955078125E-7</v>
      </c>
      <c r="K195" s="659"/>
      <c r="L195" s="660"/>
      <c r="M195" s="1223"/>
      <c r="N195" s="675"/>
      <c r="O195" s="675"/>
    </row>
    <row r="196" spans="1:16" s="662" customFormat="1" ht="15" customHeight="1" x14ac:dyDescent="0.25">
      <c r="A196" s="1365" t="s">
        <v>464</v>
      </c>
      <c r="B196" s="1366"/>
      <c r="C196" s="1366"/>
      <c r="D196" s="1366"/>
      <c r="E196" s="1366"/>
      <c r="F196" s="1366"/>
      <c r="G196" s="1366"/>
      <c r="H196" s="1367"/>
      <c r="I196" s="711"/>
      <c r="J196" s="162">
        <f>J183+J185-J190-J195</f>
        <v>468026351.0999999</v>
      </c>
      <c r="K196" s="659"/>
      <c r="L196" s="660"/>
      <c r="M196" s="1223"/>
      <c r="N196" s="675"/>
      <c r="O196" s="675"/>
    </row>
    <row r="197" spans="1:16" s="662" customFormat="1" ht="15.75" customHeight="1" x14ac:dyDescent="0.25">
      <c r="A197" s="655"/>
      <c r="B197" s="654"/>
      <c r="C197" s="655"/>
      <c r="D197" s="654"/>
      <c r="E197" s="656"/>
      <c r="F197" s="655"/>
      <c r="G197" s="657"/>
      <c r="H197" s="658"/>
      <c r="I197" s="659"/>
      <c r="J197" s="659"/>
      <c r="K197" s="659"/>
      <c r="L197" s="660"/>
      <c r="M197" s="1223"/>
      <c r="N197" s="675"/>
      <c r="O197" s="675"/>
    </row>
    <row r="198" spans="1:16" s="1249" customFormat="1" ht="15" customHeight="1" x14ac:dyDescent="0.25">
      <c r="A198" s="1354" t="s">
        <v>235</v>
      </c>
      <c r="B198" s="1354"/>
      <c r="C198" s="1354"/>
      <c r="D198" s="1354"/>
      <c r="E198" s="1354"/>
      <c r="F198" s="1354"/>
      <c r="G198" s="1354"/>
      <c r="H198" s="1354"/>
      <c r="I198" s="1354"/>
      <c r="J198" s="1354"/>
      <c r="K198" s="1354"/>
      <c r="L198" s="1220"/>
      <c r="M198" s="1223"/>
      <c r="N198" s="1274"/>
      <c r="O198" s="1274"/>
    </row>
    <row r="199" spans="1:16" s="662" customFormat="1" ht="15.75" customHeight="1" x14ac:dyDescent="0.25">
      <c r="A199" s="712"/>
      <c r="B199" s="712"/>
      <c r="C199" s="712"/>
      <c r="D199" s="712"/>
      <c r="E199" s="712"/>
      <c r="F199" s="712"/>
      <c r="G199" s="712"/>
      <c r="H199" s="712"/>
      <c r="I199" s="712"/>
      <c r="J199" s="712"/>
      <c r="K199" s="646"/>
      <c r="L199" s="646"/>
      <c r="M199" s="1223"/>
      <c r="N199" s="675"/>
      <c r="O199" s="675"/>
    </row>
    <row r="200" spans="1:16" s="662" customFormat="1" ht="15.75" customHeight="1" x14ac:dyDescent="0.25">
      <c r="A200" s="647"/>
      <c r="B200" s="647"/>
      <c r="C200" s="647"/>
      <c r="D200" s="713" t="s">
        <v>1027</v>
      </c>
      <c r="E200" s="647"/>
      <c r="F200" s="713"/>
      <c r="G200" s="648"/>
      <c r="H200" s="714"/>
      <c r="I200" s="646"/>
      <c r="J200" s="646"/>
      <c r="K200" s="646"/>
      <c r="L200" s="646"/>
      <c r="M200" s="1223"/>
      <c r="N200" s="675"/>
      <c r="O200" s="675"/>
    </row>
    <row r="201" spans="1:16" s="262" customFormat="1" ht="16.5" customHeight="1" x14ac:dyDescent="0.25">
      <c r="A201" s="1355"/>
      <c r="B201" s="1355"/>
      <c r="C201" s="1355"/>
      <c r="D201" s="1355"/>
      <c r="E201" s="1355"/>
      <c r="F201" s="1355"/>
      <c r="G201" s="1355"/>
      <c r="H201" s="1355"/>
      <c r="I201" s="307"/>
      <c r="J201" s="307"/>
      <c r="K201" s="307"/>
      <c r="L201" s="338"/>
      <c r="M201" s="1223"/>
      <c r="N201" s="337"/>
      <c r="O201" s="337"/>
    </row>
    <row r="202" spans="1:16" s="340" customFormat="1" ht="66.75" customHeight="1" x14ac:dyDescent="0.2">
      <c r="A202" s="1391" t="s">
        <v>472</v>
      </c>
      <c r="B202" s="1392"/>
      <c r="C202" s="1356" t="s">
        <v>471</v>
      </c>
      <c r="D202" s="1357"/>
      <c r="E202" s="1358"/>
      <c r="F202" s="1385" t="s">
        <v>470</v>
      </c>
      <c r="G202" s="1386"/>
      <c r="H202" s="1387"/>
      <c r="I202" s="715" t="s">
        <v>207</v>
      </c>
      <c r="J202" s="625" t="s">
        <v>356</v>
      </c>
      <c r="K202" s="716" t="s">
        <v>208</v>
      </c>
      <c r="L202" s="339"/>
      <c r="M202" s="1270" t="s">
        <v>1138</v>
      </c>
      <c r="N202" s="300"/>
      <c r="O202" s="264"/>
      <c r="P202" s="264"/>
    </row>
    <row r="203" spans="1:16" s="340" customFormat="1" ht="21.75" customHeight="1" x14ac:dyDescent="0.2">
      <c r="A203" s="1353">
        <v>1</v>
      </c>
      <c r="B203" s="1353"/>
      <c r="C203" s="1359" t="s">
        <v>308</v>
      </c>
      <c r="D203" s="1360"/>
      <c r="E203" s="1361"/>
      <c r="F203" s="717" t="s">
        <v>672</v>
      </c>
      <c r="G203" s="718"/>
      <c r="H203" s="719"/>
      <c r="I203" s="720">
        <f>SUMIF($D$260:$D$2348,1101,(I$260:I$2352))</f>
        <v>27000000</v>
      </c>
      <c r="J203" s="720">
        <f>SUMIF($D$260:$D$2348,1101,(J$260:J$2352))</f>
        <v>0</v>
      </c>
      <c r="K203" s="720">
        <f t="shared" ref="K203:K219" si="6">SUM(I203:J203)</f>
        <v>27000000</v>
      </c>
      <c r="L203" s="341"/>
      <c r="M203" s="1221">
        <f>K203/$K$220*100</f>
        <v>0.58132499899882917</v>
      </c>
      <c r="N203" s="300"/>
      <c r="O203" s="264"/>
      <c r="P203" s="264"/>
    </row>
    <row r="204" spans="1:16" s="340" customFormat="1" ht="21" customHeight="1" x14ac:dyDescent="0.2">
      <c r="A204" s="1353">
        <v>2</v>
      </c>
      <c r="B204" s="1353"/>
      <c r="C204" s="1359" t="s">
        <v>559</v>
      </c>
      <c r="D204" s="1360"/>
      <c r="E204" s="1361"/>
      <c r="F204" s="717" t="s">
        <v>673</v>
      </c>
      <c r="G204" s="718"/>
      <c r="H204" s="719"/>
      <c r="I204" s="720">
        <f>SUMIF($D$260:$D$2348,1102,(I$260:I$2352))</f>
        <v>420966146.46999997</v>
      </c>
      <c r="J204" s="720">
        <f>SUMIF($D$260:$D$2348,1102,(J$260:J$2352))</f>
        <v>0</v>
      </c>
      <c r="K204" s="720">
        <f t="shared" si="6"/>
        <v>420966146.46999997</v>
      </c>
      <c r="L204" s="341"/>
      <c r="M204" s="1221">
        <f t="shared" ref="M204:M219" si="7">K204/$K$220*100</f>
        <v>9.0636349879708789</v>
      </c>
      <c r="N204" s="300"/>
      <c r="O204" s="264"/>
      <c r="P204" s="264"/>
    </row>
    <row r="205" spans="1:16" s="262" customFormat="1" ht="20.25" customHeight="1" x14ac:dyDescent="0.25">
      <c r="A205" s="1353">
        <v>3</v>
      </c>
      <c r="B205" s="1353"/>
      <c r="C205" s="1359" t="s">
        <v>312</v>
      </c>
      <c r="D205" s="1360"/>
      <c r="E205" s="1361"/>
      <c r="F205" s="717" t="s">
        <v>475</v>
      </c>
      <c r="G205" s="718"/>
      <c r="H205" s="719"/>
      <c r="I205" s="720">
        <f>SUMIF($D$260:$D$2348,1501,(I$260:I$2352))</f>
        <v>108405400</v>
      </c>
      <c r="J205" s="720">
        <f>SUMIF($D$260:$D$2348,1501,(J$260:J$2352))</f>
        <v>0</v>
      </c>
      <c r="K205" s="720">
        <f t="shared" si="6"/>
        <v>108405400</v>
      </c>
      <c r="L205" s="341"/>
      <c r="M205" s="1221">
        <f t="shared" si="7"/>
        <v>2.3340284832025064</v>
      </c>
      <c r="N205" s="337"/>
      <c r="O205" s="337"/>
    </row>
    <row r="206" spans="1:16" s="262" customFormat="1" ht="21.75" customHeight="1" x14ac:dyDescent="0.25">
      <c r="A206" s="1353">
        <v>4</v>
      </c>
      <c r="B206" s="1353"/>
      <c r="C206" s="1359" t="s">
        <v>474</v>
      </c>
      <c r="D206" s="1360"/>
      <c r="E206" s="1361"/>
      <c r="F206" s="717" t="s">
        <v>473</v>
      </c>
      <c r="G206" s="718"/>
      <c r="H206" s="719"/>
      <c r="I206" s="720">
        <f>SUMIF($D$260:$D$2348,1502,(I$260:I$2352))</f>
        <v>9299400</v>
      </c>
      <c r="J206" s="720">
        <f>SUMIF($D$260:$D$2348,1502,(J$260:J$2352))</f>
        <v>176000</v>
      </c>
      <c r="K206" s="720">
        <f t="shared" si="6"/>
        <v>9475400</v>
      </c>
      <c r="L206" s="341"/>
      <c r="M206" s="1221">
        <f t="shared" si="7"/>
        <v>0.20401062575975945</v>
      </c>
      <c r="N206" s="337"/>
      <c r="O206" s="337"/>
    </row>
    <row r="207" spans="1:16" s="262" customFormat="1" ht="20.100000000000001" customHeight="1" x14ac:dyDescent="0.25">
      <c r="A207" s="1353">
        <v>5</v>
      </c>
      <c r="B207" s="1353"/>
      <c r="C207" s="1359" t="s">
        <v>314</v>
      </c>
      <c r="D207" s="1360"/>
      <c r="E207" s="1361"/>
      <c r="F207" s="717" t="s">
        <v>674</v>
      </c>
      <c r="G207" s="718"/>
      <c r="H207" s="719"/>
      <c r="I207" s="720">
        <f>SUMIF($D$260:$D$2348,101,(I$260:I$2352))</f>
        <v>180764500</v>
      </c>
      <c r="J207" s="720">
        <f>SUMIF($D$260:$D$2348,101,(J$260:J$2352))</f>
        <v>0</v>
      </c>
      <c r="K207" s="720">
        <f t="shared" si="6"/>
        <v>180764500</v>
      </c>
      <c r="L207" s="341"/>
      <c r="M207" s="1221">
        <f t="shared" si="7"/>
        <v>3.891960103019402</v>
      </c>
      <c r="N207" s="337"/>
      <c r="O207" s="337"/>
    </row>
    <row r="208" spans="1:16" s="262" customFormat="1" ht="20.100000000000001" customHeight="1" x14ac:dyDescent="0.25">
      <c r="A208" s="1353">
        <v>6</v>
      </c>
      <c r="B208" s="1353"/>
      <c r="C208" s="1359" t="s">
        <v>318</v>
      </c>
      <c r="D208" s="1360"/>
      <c r="E208" s="1361"/>
      <c r="F208" s="717" t="s">
        <v>476</v>
      </c>
      <c r="G208" s="718"/>
      <c r="H208" s="719"/>
      <c r="I208" s="720">
        <f>SUMIF($D$260:$D$2348,401,(I$260:I$2352))</f>
        <v>83355760</v>
      </c>
      <c r="J208" s="720">
        <f>SUMIF($D$260:$D$2348,401,(J$260:J$2352))</f>
        <v>0</v>
      </c>
      <c r="K208" s="720">
        <f t="shared" si="6"/>
        <v>83355760</v>
      </c>
      <c r="L208" s="341"/>
      <c r="M208" s="1221">
        <f t="shared" si="7"/>
        <v>1.7946958184646904</v>
      </c>
      <c r="N208" s="337"/>
      <c r="O208" s="337"/>
    </row>
    <row r="209" spans="1:15" s="262" customFormat="1" ht="20.100000000000001" customHeight="1" x14ac:dyDescent="0.25">
      <c r="A209" s="1353">
        <v>7</v>
      </c>
      <c r="B209" s="1353"/>
      <c r="C209" s="1359" t="s">
        <v>310</v>
      </c>
      <c r="D209" s="1360"/>
      <c r="E209" s="1361"/>
      <c r="F209" s="717" t="s">
        <v>675</v>
      </c>
      <c r="G209" s="718"/>
      <c r="H209" s="719"/>
      <c r="I209" s="720">
        <f>SUMIF($D$260:$D$2348,701,(I$260:I$2352))</f>
        <v>1628005632.5300002</v>
      </c>
      <c r="J209" s="720">
        <f>SUMIF($D$260:$D$2348,701,(J$260:J$2352))</f>
        <v>0</v>
      </c>
      <c r="K209" s="720">
        <f t="shared" si="6"/>
        <v>1628005632.5300002</v>
      </c>
      <c r="L209" s="341"/>
      <c r="M209" s="1221">
        <f t="shared" si="7"/>
        <v>35.05186565557743</v>
      </c>
      <c r="N209" s="337"/>
      <c r="O209" s="337"/>
    </row>
    <row r="210" spans="1:15" s="262" customFormat="1" ht="20.100000000000001" customHeight="1" x14ac:dyDescent="0.25">
      <c r="A210" s="1353">
        <v>8</v>
      </c>
      <c r="B210" s="1353"/>
      <c r="C210" s="1359" t="s">
        <v>477</v>
      </c>
      <c r="D210" s="1360"/>
      <c r="E210" s="1361"/>
      <c r="F210" s="717" t="s">
        <v>676</v>
      </c>
      <c r="G210" s="718"/>
      <c r="H210" s="719"/>
      <c r="I210" s="720">
        <f>SUMIF($D$260:$D$2348,2001,(I$260:I$2352))</f>
        <v>407264000</v>
      </c>
      <c r="J210" s="720">
        <f>SUMIF($D$260:$D$2348,2001,(J$260:J$2352))</f>
        <v>13000000</v>
      </c>
      <c r="K210" s="720">
        <f t="shared" si="6"/>
        <v>420264000</v>
      </c>
      <c r="L210" s="341"/>
      <c r="M210" s="1221">
        <f t="shared" si="7"/>
        <v>9.0485173844164422</v>
      </c>
      <c r="N210" s="337"/>
      <c r="O210" s="337"/>
    </row>
    <row r="211" spans="1:15" s="262" customFormat="1" ht="20.100000000000001" customHeight="1" x14ac:dyDescent="0.25">
      <c r="A211" s="1353">
        <v>9</v>
      </c>
      <c r="B211" s="1353"/>
      <c r="C211" s="1359" t="s">
        <v>478</v>
      </c>
      <c r="D211" s="1360"/>
      <c r="E211" s="1361"/>
      <c r="F211" s="717" t="s">
        <v>677</v>
      </c>
      <c r="G211" s="718"/>
      <c r="H211" s="719"/>
      <c r="I211" s="720">
        <f>SUMIF($D$260:$D$2348,2002,(I$260:I$2352))</f>
        <v>184710123</v>
      </c>
      <c r="J211" s="720">
        <f>SUMIF($D$260:$D$2348,2002,(J$260:J$2352))</f>
        <v>0</v>
      </c>
      <c r="K211" s="720">
        <f t="shared" si="6"/>
        <v>184710123</v>
      </c>
      <c r="L211" s="341"/>
      <c r="M211" s="1221">
        <f t="shared" si="7"/>
        <v>3.9769115580758747</v>
      </c>
      <c r="N211" s="337"/>
      <c r="O211" s="337"/>
    </row>
    <row r="212" spans="1:15" s="262" customFormat="1" ht="20.100000000000001" customHeight="1" x14ac:dyDescent="0.25">
      <c r="A212" s="1353">
        <v>10</v>
      </c>
      <c r="B212" s="1353"/>
      <c r="C212" s="1359" t="s">
        <v>479</v>
      </c>
      <c r="D212" s="1360"/>
      <c r="E212" s="1361"/>
      <c r="F212" s="717" t="s">
        <v>678</v>
      </c>
      <c r="G212" s="718"/>
      <c r="H212" s="719"/>
      <c r="I212" s="720">
        <f>SUMIF($D$260:$D$2348,2003,(I$260:I$2352))</f>
        <v>61113651.049999997</v>
      </c>
      <c r="J212" s="720">
        <f>SUMIF($D$260:$D$2348,2003,(J$260:J$2352))</f>
        <v>0</v>
      </c>
      <c r="K212" s="720">
        <f t="shared" si="6"/>
        <v>61113651.049999997</v>
      </c>
      <c r="L212" s="341"/>
      <c r="M212" s="1221">
        <f t="shared" si="7"/>
        <v>1.3158108568687423</v>
      </c>
      <c r="N212" s="337"/>
      <c r="O212" s="337"/>
    </row>
    <row r="213" spans="1:15" s="262" customFormat="1" ht="20.100000000000001" customHeight="1" x14ac:dyDescent="0.25">
      <c r="A213" s="1353">
        <v>11</v>
      </c>
      <c r="B213" s="1353"/>
      <c r="C213" s="1359" t="s">
        <v>300</v>
      </c>
      <c r="D213" s="1360"/>
      <c r="E213" s="1361"/>
      <c r="F213" s="717" t="s">
        <v>480</v>
      </c>
      <c r="G213" s="718"/>
      <c r="H213" s="719"/>
      <c r="I213" s="720">
        <f>SUMIF($D$260:$D$2348,901,(I$260:I$2352))</f>
        <v>213987625.40000001</v>
      </c>
      <c r="J213" s="720">
        <f>SUMIF($D$260:$D$2348,901,(J$260:J$2352))</f>
        <v>0</v>
      </c>
      <c r="K213" s="720">
        <f t="shared" si="6"/>
        <v>213987625.40000001</v>
      </c>
      <c r="L213" s="341"/>
      <c r="M213" s="1221">
        <f t="shared" si="7"/>
        <v>4.6072724489413641</v>
      </c>
      <c r="N213" s="337"/>
      <c r="O213" s="337"/>
    </row>
    <row r="214" spans="1:15" s="262" customFormat="1" ht="20.100000000000001" customHeight="1" x14ac:dyDescent="0.25">
      <c r="A214" s="1353">
        <v>12</v>
      </c>
      <c r="B214" s="1353"/>
      <c r="C214" s="1359" t="s">
        <v>306</v>
      </c>
      <c r="D214" s="1360"/>
      <c r="E214" s="1361"/>
      <c r="F214" s="717" t="s">
        <v>679</v>
      </c>
      <c r="G214" s="718"/>
      <c r="H214" s="719"/>
      <c r="I214" s="720">
        <f>SUMIF($D$260:$D$2348,1801,(I$260:I$2352))</f>
        <v>127002000</v>
      </c>
      <c r="J214" s="720">
        <f>SUMIF($D$260:$D$2348,1801,(J$260:J$2352))</f>
        <v>0</v>
      </c>
      <c r="K214" s="720">
        <f t="shared" si="6"/>
        <v>127002000</v>
      </c>
      <c r="L214" s="341"/>
      <c r="M214" s="1221">
        <f t="shared" si="7"/>
        <v>2.7344236119573817</v>
      </c>
      <c r="N214" s="337"/>
      <c r="O214" s="337"/>
    </row>
    <row r="215" spans="1:15" s="262" customFormat="1" ht="20.100000000000001" customHeight="1" x14ac:dyDescent="0.25">
      <c r="A215" s="1353">
        <v>13</v>
      </c>
      <c r="B215" s="1353"/>
      <c r="C215" s="1359" t="s">
        <v>481</v>
      </c>
      <c r="D215" s="1360"/>
      <c r="E215" s="1361"/>
      <c r="F215" s="717" t="s">
        <v>680</v>
      </c>
      <c r="G215" s="718"/>
      <c r="H215" s="719"/>
      <c r="I215" s="720">
        <f>SUMIF($D$260:$D$2348,1201,(I$260:I$2352))</f>
        <v>139095301</v>
      </c>
      <c r="J215" s="720">
        <f>SUMIF($D$260:$D$2348,1201,(J$260:J$2352))</f>
        <v>16056800</v>
      </c>
      <c r="K215" s="720">
        <f t="shared" si="6"/>
        <v>155152101</v>
      </c>
      <c r="L215" s="341"/>
      <c r="M215" s="1221">
        <f t="shared" si="7"/>
        <v>3.3405109243885645</v>
      </c>
      <c r="N215" s="337"/>
      <c r="O215" s="337"/>
    </row>
    <row r="216" spans="1:15" s="262" customFormat="1" ht="20.100000000000001" customHeight="1" x14ac:dyDescent="0.25">
      <c r="A216" s="1353">
        <v>14</v>
      </c>
      <c r="B216" s="1353"/>
      <c r="C216" s="1359" t="s">
        <v>298</v>
      </c>
      <c r="D216" s="1360"/>
      <c r="E216" s="1361"/>
      <c r="F216" s="717" t="s">
        <v>482</v>
      </c>
      <c r="G216" s="718"/>
      <c r="H216" s="719"/>
      <c r="I216" s="720">
        <f>SUMIF($D$260:$D$2348,1301,(I$260:I$2352))</f>
        <v>340328135.02999997</v>
      </c>
      <c r="J216" s="720">
        <f>SUMIF($D$260:$D$2348,1301,(J$260:J$2352))</f>
        <v>0</v>
      </c>
      <c r="K216" s="720">
        <f t="shared" si="6"/>
        <v>340328135.02999997</v>
      </c>
      <c r="L216" s="341"/>
      <c r="M216" s="1221">
        <f t="shared" si="7"/>
        <v>7.3274538057625236</v>
      </c>
      <c r="N216" s="337"/>
      <c r="O216" s="337"/>
    </row>
    <row r="217" spans="1:15" s="262" customFormat="1" ht="20.100000000000001" customHeight="1" x14ac:dyDescent="0.25">
      <c r="A217" s="1353">
        <v>15</v>
      </c>
      <c r="B217" s="1353"/>
      <c r="C217" s="1359" t="s">
        <v>296</v>
      </c>
      <c r="D217" s="1360"/>
      <c r="E217" s="1361"/>
      <c r="F217" s="717" t="s">
        <v>681</v>
      </c>
      <c r="G217" s="718"/>
      <c r="H217" s="719"/>
      <c r="I217" s="720">
        <f>SUMIF($D$260:$D$2348,602,(I$260:I$2352))</f>
        <v>547849625.51999998</v>
      </c>
      <c r="J217" s="720">
        <f>SUMIF($D$260:$D$2348,602,(J$260:J$2352))</f>
        <v>0</v>
      </c>
      <c r="K217" s="720">
        <f t="shared" si="6"/>
        <v>547849625.51999998</v>
      </c>
      <c r="L217" s="341"/>
      <c r="M217" s="1221">
        <f t="shared" si="7"/>
        <v>11.795506778034182</v>
      </c>
      <c r="N217" s="337"/>
      <c r="O217" s="337"/>
    </row>
    <row r="218" spans="1:15" s="262" customFormat="1" ht="20.100000000000001" customHeight="1" x14ac:dyDescent="0.25">
      <c r="A218" s="1402">
        <v>16</v>
      </c>
      <c r="B218" s="1403"/>
      <c r="C218" s="1359" t="s">
        <v>534</v>
      </c>
      <c r="D218" s="1360"/>
      <c r="E218" s="1361"/>
      <c r="F218" s="1409" t="s">
        <v>682</v>
      </c>
      <c r="G218" s="1410"/>
      <c r="H218" s="1411"/>
      <c r="I218" s="720">
        <f>SUMIF($D$260:$D$2348,2101,(I$260:I$2352))</f>
        <v>81573900</v>
      </c>
      <c r="J218" s="720">
        <f>SUMIF($D$260:$D$2348,2101,(J$260:J$2352))</f>
        <v>0</v>
      </c>
      <c r="K218" s="720">
        <f t="shared" si="6"/>
        <v>81573900</v>
      </c>
      <c r="L218" s="341"/>
      <c r="M218" s="1221">
        <f t="shared" si="7"/>
        <v>1.7563313828085403</v>
      </c>
      <c r="N218" s="337"/>
      <c r="O218" s="337"/>
    </row>
    <row r="219" spans="1:15" s="262" customFormat="1" ht="20.100000000000001" customHeight="1" x14ac:dyDescent="0.25">
      <c r="A219" s="1412">
        <v>17</v>
      </c>
      <c r="B219" s="1413"/>
      <c r="C219" s="1359" t="s">
        <v>671</v>
      </c>
      <c r="D219" s="1360"/>
      <c r="E219" s="1361"/>
      <c r="F219" s="721" t="s">
        <v>683</v>
      </c>
      <c r="G219" s="722"/>
      <c r="H219" s="723"/>
      <c r="I219" s="720">
        <f>SUMIF($D$260:$D$2348,501,(I$260:I$2352))</f>
        <v>54608000</v>
      </c>
      <c r="J219" s="720">
        <f>SUMIF($D$260:$D$2348,501,(J$260:J$2352))</f>
        <v>0</v>
      </c>
      <c r="K219" s="720">
        <f t="shared" si="6"/>
        <v>54608000</v>
      </c>
      <c r="L219" s="341"/>
      <c r="M219" s="1221">
        <f t="shared" si="7"/>
        <v>1.1757405757528914</v>
      </c>
      <c r="N219" s="337"/>
      <c r="O219" s="337"/>
    </row>
    <row r="220" spans="1:15" s="262" customFormat="1" ht="20.100000000000001" customHeight="1" x14ac:dyDescent="0.25">
      <c r="A220" s="1404"/>
      <c r="B220" s="1405"/>
      <c r="C220" s="1405"/>
      <c r="D220" s="1405"/>
      <c r="E220" s="1405"/>
      <c r="F220" s="1405" t="s">
        <v>509</v>
      </c>
      <c r="G220" s="1405"/>
      <c r="H220" s="1445"/>
      <c r="I220" s="724">
        <f>SUM(I203:I219)</f>
        <v>4615329200</v>
      </c>
      <c r="J220" s="725">
        <f t="shared" ref="J220:K220" si="8">SUM(J203:J219)</f>
        <v>29232800</v>
      </c>
      <c r="K220" s="725">
        <f t="shared" si="8"/>
        <v>4644562000</v>
      </c>
      <c r="L220" s="342"/>
      <c r="M220" s="1235">
        <f>SUM(M203:M219)</f>
        <v>99.999999999999986</v>
      </c>
      <c r="N220" s="337"/>
      <c r="O220" s="337"/>
    </row>
    <row r="221" spans="1:15" s="262" customFormat="1" ht="15.75" customHeight="1" x14ac:dyDescent="0.25">
      <c r="A221" s="343"/>
      <c r="B221" s="343"/>
      <c r="C221" s="344"/>
      <c r="D221" s="343"/>
      <c r="E221" s="345"/>
      <c r="F221" s="344"/>
      <c r="G221" s="346"/>
      <c r="H221" s="347"/>
      <c r="I221" s="307"/>
      <c r="J221" s="35"/>
      <c r="K221" s="307"/>
      <c r="L221" s="336"/>
      <c r="M221" s="1223"/>
      <c r="N221" s="337"/>
      <c r="O221" s="337"/>
    </row>
    <row r="222" spans="1:15" s="1249" customFormat="1" ht="15.75" customHeight="1" x14ac:dyDescent="0.25">
      <c r="A222" s="1381" t="s">
        <v>267</v>
      </c>
      <c r="B222" s="1381"/>
      <c r="C222" s="1381"/>
      <c r="D222" s="1381"/>
      <c r="E222" s="1381"/>
      <c r="F222" s="1381"/>
      <c r="G222" s="1381"/>
      <c r="H222" s="1381"/>
      <c r="I222" s="1381"/>
      <c r="J222" s="1381"/>
      <c r="K222" s="1381"/>
      <c r="L222" s="1273"/>
      <c r="M222" s="1223"/>
      <c r="N222" s="1274"/>
      <c r="O222" s="1274"/>
    </row>
    <row r="223" spans="1:15" s="662" customFormat="1" ht="15.75" customHeight="1" x14ac:dyDescent="0.25">
      <c r="A223" s="643"/>
      <c r="B223" s="643"/>
      <c r="C223" s="643"/>
      <c r="D223" s="643"/>
      <c r="E223" s="643"/>
      <c r="F223" s="643"/>
      <c r="G223" s="644"/>
      <c r="H223" s="645"/>
      <c r="I223" s="646"/>
      <c r="J223" s="646"/>
      <c r="K223" s="646"/>
      <c r="L223" s="641"/>
      <c r="M223" s="1223"/>
      <c r="N223" s="675"/>
      <c r="O223" s="675"/>
    </row>
    <row r="224" spans="1:15" s="1333" customFormat="1" ht="15.75" customHeight="1" x14ac:dyDescent="0.25">
      <c r="A224" s="647"/>
      <c r="B224" s="647"/>
      <c r="C224" s="647"/>
      <c r="D224" s="647" t="s">
        <v>1147</v>
      </c>
      <c r="E224" s="647"/>
      <c r="F224" s="647"/>
      <c r="G224" s="648"/>
      <c r="H224" s="649"/>
      <c r="I224" s="650"/>
      <c r="J224" s="650"/>
      <c r="K224" s="1330"/>
      <c r="L224" s="729"/>
      <c r="M224" s="1225"/>
      <c r="N224" s="1332"/>
      <c r="O224" s="1332"/>
    </row>
    <row r="225" spans="1:16" s="262" customFormat="1" ht="16.5" customHeight="1" x14ac:dyDescent="0.25">
      <c r="A225" s="343"/>
      <c r="B225" s="343"/>
      <c r="C225" s="344"/>
      <c r="D225" s="343"/>
      <c r="E225" s="345"/>
      <c r="F225" s="344"/>
      <c r="G225" s="348"/>
      <c r="H225" s="349"/>
      <c r="I225" s="240"/>
      <c r="J225" s="240"/>
      <c r="K225" s="240"/>
      <c r="L225" s="32"/>
      <c r="M225" s="1220"/>
      <c r="N225" s="1348"/>
      <c r="O225" s="263"/>
      <c r="P225" s="263"/>
    </row>
    <row r="226" spans="1:16" s="262" customFormat="1" ht="15" customHeight="1" x14ac:dyDescent="0.25">
      <c r="A226" s="1393" t="s">
        <v>265</v>
      </c>
      <c r="B226" s="1394"/>
      <c r="C226" s="1449" t="s">
        <v>266</v>
      </c>
      <c r="D226" s="1451"/>
      <c r="E226" s="1449" t="s">
        <v>444</v>
      </c>
      <c r="F226" s="1450"/>
      <c r="G226" s="1450"/>
      <c r="H226" s="1451"/>
      <c r="I226" s="1446" t="s">
        <v>445</v>
      </c>
      <c r="J226" s="1447"/>
      <c r="K226" s="1448"/>
      <c r="L226" s="26"/>
      <c r="M226" s="1220"/>
      <c r="N226" s="1348"/>
      <c r="O226" s="263"/>
      <c r="P226" s="263"/>
    </row>
    <row r="227" spans="1:16" s="15" customFormat="1" ht="15" x14ac:dyDescent="0.25">
      <c r="A227" s="1395"/>
      <c r="B227" s="1396"/>
      <c r="C227" s="1452"/>
      <c r="D227" s="1454"/>
      <c r="E227" s="1452"/>
      <c r="F227" s="1453"/>
      <c r="G227" s="1453"/>
      <c r="H227" s="1454"/>
      <c r="I227" s="1240">
        <v>2018</v>
      </c>
      <c r="J227" s="1240">
        <v>2019</v>
      </c>
      <c r="K227" s="1240">
        <v>2020</v>
      </c>
      <c r="L227" s="26"/>
      <c r="M227" s="1231"/>
      <c r="N227" s="1349"/>
    </row>
    <row r="228" spans="1:16" s="15" customFormat="1" ht="15" x14ac:dyDescent="0.25">
      <c r="A228" s="1397"/>
      <c r="B228" s="1398"/>
      <c r="C228" s="1455"/>
      <c r="D228" s="1457"/>
      <c r="E228" s="1455"/>
      <c r="F228" s="1456"/>
      <c r="G228" s="1456"/>
      <c r="H228" s="1457"/>
      <c r="I228" s="1241"/>
      <c r="J228" s="1241"/>
      <c r="K228" s="1241"/>
      <c r="L228" s="26"/>
      <c r="M228" s="1225"/>
      <c r="N228" s="33"/>
      <c r="O228" s="33"/>
    </row>
    <row r="229" spans="1:16" s="15" customFormat="1" ht="15" x14ac:dyDescent="0.25">
      <c r="A229" s="1236">
        <v>1</v>
      </c>
      <c r="B229" s="1237"/>
      <c r="C229" s="1236">
        <v>2</v>
      </c>
      <c r="D229" s="1237"/>
      <c r="E229" s="1236">
        <v>3</v>
      </c>
      <c r="F229" s="1242"/>
      <c r="G229" s="1242"/>
      <c r="H229" s="1237"/>
      <c r="I229" s="570">
        <v>4</v>
      </c>
      <c r="J229" s="570">
        <v>5</v>
      </c>
      <c r="K229" s="726">
        <v>6</v>
      </c>
      <c r="L229" s="26"/>
      <c r="M229" s="1225"/>
      <c r="N229" s="33"/>
      <c r="O229" s="33"/>
    </row>
    <row r="230" spans="1:16" ht="15" customHeight="1" x14ac:dyDescent="0.2">
      <c r="A230" s="1402">
        <v>512</v>
      </c>
      <c r="B230" s="1403"/>
      <c r="C230" s="1324">
        <v>1</v>
      </c>
      <c r="D230" s="1325"/>
      <c r="E230" s="1399" t="s">
        <v>938</v>
      </c>
      <c r="F230" s="1400"/>
      <c r="G230" s="1400"/>
      <c r="H230" s="1401"/>
      <c r="I230" s="727">
        <v>6000000</v>
      </c>
      <c r="J230" s="727"/>
      <c r="K230" s="727"/>
      <c r="L230" s="35"/>
    </row>
    <row r="231" spans="1:16" ht="15" customHeight="1" x14ac:dyDescent="0.2">
      <c r="A231" s="1324"/>
      <c r="B231" s="1325"/>
      <c r="C231" s="1324">
        <v>2</v>
      </c>
      <c r="D231" s="1325"/>
      <c r="E231" s="1406" t="s">
        <v>841</v>
      </c>
      <c r="F231" s="1407"/>
      <c r="G231" s="1407"/>
      <c r="H231" s="1408"/>
      <c r="I231" s="727">
        <v>22000000</v>
      </c>
      <c r="J231" s="727">
        <v>2800000</v>
      </c>
      <c r="K231" s="727">
        <v>2800000</v>
      </c>
      <c r="L231" s="35"/>
    </row>
    <row r="232" spans="1:16" ht="27" customHeight="1" x14ac:dyDescent="0.2">
      <c r="A232" s="1402">
        <v>511</v>
      </c>
      <c r="B232" s="1403"/>
      <c r="C232" s="1324">
        <v>3</v>
      </c>
      <c r="D232" s="1325"/>
      <c r="E232" s="1399" t="s">
        <v>1047</v>
      </c>
      <c r="F232" s="1400"/>
      <c r="G232" s="1400"/>
      <c r="H232" s="1401"/>
      <c r="I232" s="728">
        <v>132600000</v>
      </c>
      <c r="J232" s="727"/>
      <c r="K232" s="727"/>
      <c r="L232" s="35"/>
    </row>
    <row r="233" spans="1:16" ht="15" customHeight="1" x14ac:dyDescent="0.2">
      <c r="A233" s="1322"/>
      <c r="B233" s="1323"/>
      <c r="C233" s="1324">
        <v>4</v>
      </c>
      <c r="D233" s="1325"/>
      <c r="E233" s="1399" t="s">
        <v>866</v>
      </c>
      <c r="F233" s="1400"/>
      <c r="G233" s="1400"/>
      <c r="H233" s="1401"/>
      <c r="I233" s="727">
        <v>63780144.159999996</v>
      </c>
      <c r="J233" s="727"/>
      <c r="K233" s="727"/>
      <c r="L233" s="35"/>
    </row>
    <row r="234" spans="1:16" s="3" customFormat="1" ht="26.25" customHeight="1" x14ac:dyDescent="0.2">
      <c r="A234" s="1322"/>
      <c r="B234" s="1323"/>
      <c r="C234" s="1324">
        <v>5</v>
      </c>
      <c r="D234" s="1325"/>
      <c r="E234" s="1399" t="s">
        <v>1104</v>
      </c>
      <c r="F234" s="1400"/>
      <c r="G234" s="1400"/>
      <c r="H234" s="1401"/>
      <c r="I234" s="727">
        <v>77520000</v>
      </c>
      <c r="J234" s="727"/>
      <c r="K234" s="727"/>
      <c r="L234" s="35"/>
      <c r="M234" s="1223"/>
      <c r="N234" s="36"/>
      <c r="O234" s="36"/>
    </row>
    <row r="235" spans="1:16" s="3" customFormat="1" ht="15" customHeight="1" x14ac:dyDescent="0.2">
      <c r="A235" s="1322"/>
      <c r="B235" s="1323"/>
      <c r="C235" s="1324">
        <v>6</v>
      </c>
      <c r="D235" s="1325"/>
      <c r="E235" s="1417" t="s">
        <v>1148</v>
      </c>
      <c r="F235" s="1418"/>
      <c r="G235" s="1418"/>
      <c r="H235" s="1419"/>
      <c r="I235" s="727">
        <v>1000</v>
      </c>
      <c r="J235" s="727">
        <v>91500000</v>
      </c>
      <c r="K235" s="727"/>
      <c r="L235" s="35"/>
      <c r="M235" s="1223"/>
      <c r="N235" s="36"/>
      <c r="O235" s="36"/>
    </row>
    <row r="236" spans="1:16" s="3" customFormat="1" ht="15" customHeight="1" x14ac:dyDescent="0.2">
      <c r="A236" s="1322"/>
      <c r="B236" s="1323"/>
      <c r="C236" s="1324">
        <v>7</v>
      </c>
      <c r="D236" s="1325"/>
      <c r="E236" s="1399" t="s">
        <v>1015</v>
      </c>
      <c r="F236" s="1400"/>
      <c r="G236" s="1400"/>
      <c r="H236" s="1401"/>
      <c r="I236" s="727">
        <v>48000000</v>
      </c>
      <c r="J236" s="727"/>
      <c r="K236" s="727"/>
      <c r="L236" s="35"/>
      <c r="M236" s="1223"/>
      <c r="N236" s="36"/>
      <c r="O236" s="36"/>
    </row>
    <row r="237" spans="1:16" s="3" customFormat="1" ht="29.25" customHeight="1" x14ac:dyDescent="0.2">
      <c r="A237" s="1322"/>
      <c r="B237" s="1323"/>
      <c r="C237" s="1324">
        <v>8</v>
      </c>
      <c r="D237" s="1325"/>
      <c r="E237" s="1399" t="s">
        <v>965</v>
      </c>
      <c r="F237" s="1400"/>
      <c r="G237" s="1400"/>
      <c r="H237" s="1401"/>
      <c r="I237" s="727">
        <v>20340000</v>
      </c>
      <c r="J237" s="727"/>
      <c r="K237" s="727"/>
      <c r="L237" s="35"/>
      <c r="M237" s="1223"/>
      <c r="N237" s="36"/>
      <c r="O237" s="36"/>
    </row>
    <row r="238" spans="1:16" s="3" customFormat="1" ht="16.5" customHeight="1" x14ac:dyDescent="0.2">
      <c r="A238" s="1322"/>
      <c r="B238" s="1323"/>
      <c r="C238" s="1324">
        <v>9</v>
      </c>
      <c r="D238" s="1325"/>
      <c r="E238" s="1399" t="s">
        <v>995</v>
      </c>
      <c r="F238" s="1400"/>
      <c r="G238" s="1400"/>
      <c r="H238" s="1401"/>
      <c r="I238" s="727">
        <v>48960000</v>
      </c>
      <c r="J238" s="727"/>
      <c r="K238" s="727"/>
      <c r="L238" s="35"/>
      <c r="M238" s="1223"/>
      <c r="N238" s="36"/>
      <c r="O238" s="36"/>
    </row>
    <row r="239" spans="1:16" s="3" customFormat="1" ht="26.25" customHeight="1" x14ac:dyDescent="0.2">
      <c r="A239" s="1322"/>
      <c r="B239" s="1323"/>
      <c r="C239" s="1324">
        <v>10</v>
      </c>
      <c r="D239" s="1325"/>
      <c r="E239" s="1399" t="s">
        <v>906</v>
      </c>
      <c r="F239" s="1400"/>
      <c r="G239" s="1400"/>
      <c r="H239" s="1401"/>
      <c r="I239" s="727">
        <v>1000</v>
      </c>
      <c r="J239" s="727">
        <v>15000000</v>
      </c>
      <c r="K239" s="727"/>
      <c r="L239" s="35"/>
      <c r="M239" s="1223"/>
      <c r="N239" s="36"/>
      <c r="O239" s="36"/>
    </row>
    <row r="240" spans="1:16" s="3" customFormat="1" ht="15" customHeight="1" x14ac:dyDescent="0.2">
      <c r="A240" s="1322"/>
      <c r="B240" s="1323"/>
      <c r="C240" s="1324">
        <v>11</v>
      </c>
      <c r="D240" s="1325"/>
      <c r="E240" s="1399" t="s">
        <v>907</v>
      </c>
      <c r="F240" s="1400"/>
      <c r="G240" s="1400"/>
      <c r="H240" s="1401"/>
      <c r="I240" s="727">
        <v>473800301.10000002</v>
      </c>
      <c r="J240" s="727"/>
      <c r="K240" s="727"/>
      <c r="L240" s="35"/>
      <c r="M240" s="1223"/>
      <c r="N240" s="36"/>
      <c r="O240" s="36"/>
    </row>
    <row r="241" spans="1:15" s="3" customFormat="1" ht="15" customHeight="1" x14ac:dyDescent="0.2">
      <c r="A241" s="1322"/>
      <c r="B241" s="1323"/>
      <c r="C241" s="1324">
        <v>12</v>
      </c>
      <c r="D241" s="1325"/>
      <c r="E241" s="1399" t="s">
        <v>910</v>
      </c>
      <c r="F241" s="1400"/>
      <c r="G241" s="1400"/>
      <c r="H241" s="1401"/>
      <c r="I241" s="727">
        <v>310615935</v>
      </c>
      <c r="J241" s="727"/>
      <c r="K241" s="727"/>
      <c r="L241" s="35"/>
      <c r="M241" s="1223"/>
      <c r="N241" s="36"/>
      <c r="O241" s="36"/>
    </row>
    <row r="242" spans="1:15" s="3" customFormat="1" ht="30.75" customHeight="1" x14ac:dyDescent="0.2">
      <c r="A242" s="1322"/>
      <c r="B242" s="1323"/>
      <c r="C242" s="1324">
        <v>13</v>
      </c>
      <c r="D242" s="1325"/>
      <c r="E242" s="1399" t="s">
        <v>911</v>
      </c>
      <c r="F242" s="1400"/>
      <c r="G242" s="1400"/>
      <c r="H242" s="1401"/>
      <c r="I242" s="727">
        <v>72138118.730000004</v>
      </c>
      <c r="J242" s="727"/>
      <c r="K242" s="727"/>
      <c r="L242" s="35"/>
      <c r="M242" s="1223"/>
      <c r="N242" s="36"/>
      <c r="O242" s="36"/>
    </row>
    <row r="243" spans="1:15" s="3" customFormat="1" ht="27.75" customHeight="1" x14ac:dyDescent="0.2">
      <c r="A243" s="1322"/>
      <c r="B243" s="1323"/>
      <c r="C243" s="1324">
        <v>14</v>
      </c>
      <c r="D243" s="1325"/>
      <c r="E243" s="1399" t="str">
        <f>H1888</f>
        <v>ПРОЈЕКАТ 1.1 - Припрема, допуна документације и исходовање документације за завршетак радова на спортској хали у Инђији до добијања употребне дозволе</v>
      </c>
      <c r="F243" s="1400"/>
      <c r="G243" s="1400"/>
      <c r="H243" s="1401"/>
      <c r="I243" s="727">
        <v>30001000</v>
      </c>
      <c r="J243" s="727">
        <v>100000000</v>
      </c>
      <c r="K243" s="727"/>
      <c r="L243" s="35"/>
      <c r="M243" s="1223"/>
      <c r="N243" s="36"/>
      <c r="O243" s="36"/>
    </row>
    <row r="244" spans="1:15" s="3" customFormat="1" ht="29.25" customHeight="1" x14ac:dyDescent="0.2">
      <c r="A244" s="1322"/>
      <c r="B244" s="1323"/>
      <c r="C244" s="1324">
        <v>15</v>
      </c>
      <c r="D244" s="1325"/>
      <c r="E244" s="1399" t="s">
        <v>1127</v>
      </c>
      <c r="F244" s="1400"/>
      <c r="G244" s="1400"/>
      <c r="H244" s="1401"/>
      <c r="I244" s="727">
        <v>12840000</v>
      </c>
      <c r="J244" s="727"/>
      <c r="K244" s="727"/>
      <c r="L244" s="35"/>
      <c r="M244" s="1223"/>
      <c r="N244" s="36"/>
      <c r="O244" s="36"/>
    </row>
    <row r="245" spans="1:15" s="3" customFormat="1" ht="15" customHeight="1" x14ac:dyDescent="0.2">
      <c r="A245" s="1322"/>
      <c r="B245" s="1323"/>
      <c r="C245" s="1324">
        <v>16</v>
      </c>
      <c r="D245" s="1325"/>
      <c r="E245" s="1399" t="s">
        <v>1069</v>
      </c>
      <c r="F245" s="1400"/>
      <c r="G245" s="1400"/>
      <c r="H245" s="1401"/>
      <c r="I245" s="727">
        <v>86449329</v>
      </c>
      <c r="J245" s="727"/>
      <c r="K245" s="727"/>
      <c r="L245" s="35"/>
      <c r="M245" s="1223"/>
      <c r="N245" s="36"/>
      <c r="O245" s="36"/>
    </row>
    <row r="246" spans="1:15" s="3" customFormat="1" ht="25.5" customHeight="1" x14ac:dyDescent="0.2">
      <c r="A246" s="1322"/>
      <c r="B246" s="1323"/>
      <c r="C246" s="1324">
        <v>17</v>
      </c>
      <c r="D246" s="1325"/>
      <c r="E246" s="1399" t="s">
        <v>999</v>
      </c>
      <c r="F246" s="1400"/>
      <c r="G246" s="1400"/>
      <c r="H246" s="1401"/>
      <c r="I246" s="727">
        <v>15000000</v>
      </c>
      <c r="J246" s="727"/>
      <c r="K246" s="727"/>
      <c r="L246" s="35"/>
      <c r="M246" s="1223"/>
      <c r="N246" s="36"/>
      <c r="O246" s="36"/>
    </row>
    <row r="247" spans="1:15" s="3" customFormat="1" ht="15" customHeight="1" x14ac:dyDescent="0.2">
      <c r="A247" s="1322"/>
      <c r="B247" s="1323"/>
      <c r="C247" s="1324">
        <v>18</v>
      </c>
      <c r="D247" s="1325"/>
      <c r="E247" s="1417" t="s">
        <v>839</v>
      </c>
      <c r="F247" s="1418"/>
      <c r="G247" s="1418"/>
      <c r="H247" s="1419"/>
      <c r="I247" s="727">
        <v>2000</v>
      </c>
      <c r="J247" s="727">
        <v>50000000</v>
      </c>
      <c r="K247" s="727"/>
      <c r="L247" s="35"/>
      <c r="M247" s="1223"/>
      <c r="N247" s="36"/>
      <c r="O247" s="36"/>
    </row>
    <row r="248" spans="1:15" s="3" customFormat="1" ht="15" customHeight="1" x14ac:dyDescent="0.2">
      <c r="A248" s="1238"/>
      <c r="B248" s="1239"/>
      <c r="C248" s="1239"/>
      <c r="D248" s="1239"/>
      <c r="E248" s="1443"/>
      <c r="F248" s="1443"/>
      <c r="G248" s="1443"/>
      <c r="H248" s="1444"/>
      <c r="I248" s="724">
        <f>SUM(I230:I247)</f>
        <v>1420048827.99</v>
      </c>
      <c r="J248" s="724">
        <f t="shared" ref="J248:K248" si="9">SUM(J230:J247)</f>
        <v>259300000</v>
      </c>
      <c r="K248" s="724">
        <f t="shared" si="9"/>
        <v>2800000</v>
      </c>
      <c r="L248" s="35"/>
      <c r="M248" s="1223"/>
      <c r="N248" s="36"/>
      <c r="O248" s="36"/>
    </row>
    <row r="249" spans="1:15" s="3" customFormat="1" ht="15.75" customHeight="1" x14ac:dyDescent="0.2">
      <c r="A249" s="350"/>
      <c r="B249" s="350"/>
      <c r="C249" s="350"/>
      <c r="D249" s="351"/>
      <c r="E249" s="352"/>
      <c r="F249" s="350"/>
      <c r="G249" s="328"/>
      <c r="H249" s="353"/>
      <c r="I249" s="72"/>
      <c r="J249" s="72"/>
      <c r="K249" s="72"/>
      <c r="L249" s="35"/>
      <c r="M249" s="1223"/>
      <c r="N249" s="36"/>
      <c r="O249" s="36"/>
    </row>
    <row r="250" spans="1:15" s="749" customFormat="1" ht="15.75" customHeight="1" x14ac:dyDescent="0.2">
      <c r="A250" s="1441" t="s">
        <v>268</v>
      </c>
      <c r="B250" s="1441"/>
      <c r="C250" s="1441"/>
      <c r="D250" s="1441"/>
      <c r="E250" s="1441"/>
      <c r="F250" s="1441"/>
      <c r="G250" s="1441"/>
      <c r="H250" s="1441"/>
      <c r="I250" s="1441"/>
      <c r="J250" s="1441"/>
      <c r="K250" s="1441"/>
      <c r="L250" s="27"/>
      <c r="M250" s="1223"/>
      <c r="N250" s="748"/>
      <c r="O250" s="748"/>
    </row>
    <row r="251" spans="1:15" s="749" customFormat="1" ht="16.5" customHeight="1" x14ac:dyDescent="0.2">
      <c r="A251" s="1251"/>
      <c r="B251" s="1251"/>
      <c r="C251" s="1251"/>
      <c r="D251" s="1251"/>
      <c r="E251" s="1251"/>
      <c r="F251" s="1251"/>
      <c r="G251" s="1251"/>
      <c r="H251" s="1251"/>
      <c r="I251" s="1251"/>
      <c r="J251" s="1251"/>
      <c r="K251" s="1251"/>
      <c r="L251" s="27"/>
      <c r="M251" s="1223"/>
      <c r="N251" s="748"/>
      <c r="O251" s="748"/>
    </row>
    <row r="252" spans="1:15" s="653" customFormat="1" ht="15.75" customHeight="1" x14ac:dyDescent="0.25">
      <c r="A252" s="1442" t="s">
        <v>446</v>
      </c>
      <c r="B252" s="1442"/>
      <c r="C252" s="1442"/>
      <c r="D252" s="1442"/>
      <c r="E252" s="1442"/>
      <c r="F252" s="1442"/>
      <c r="G252" s="1442"/>
      <c r="H252" s="1442"/>
      <c r="I252" s="1442"/>
      <c r="J252" s="1442"/>
      <c r="K252" s="1442"/>
      <c r="L252" s="1206"/>
      <c r="M252" s="1223"/>
      <c r="N252" s="652"/>
      <c r="O252" s="652"/>
    </row>
    <row r="253" spans="1:15" s="749" customFormat="1" ht="15.75" customHeight="1" x14ac:dyDescent="0.2">
      <c r="A253" s="751"/>
      <c r="B253" s="751"/>
      <c r="C253" s="751"/>
      <c r="D253" s="751"/>
      <c r="E253" s="751"/>
      <c r="F253" s="751"/>
      <c r="G253" s="752"/>
      <c r="H253" s="753"/>
      <c r="I253" s="752"/>
      <c r="J253" s="752"/>
      <c r="K253" s="737"/>
      <c r="L253" s="642"/>
      <c r="M253" s="1223"/>
      <c r="N253" s="748"/>
      <c r="O253" s="748"/>
    </row>
    <row r="254" spans="1:15" s="1341" customFormat="1" ht="15.75" customHeight="1" x14ac:dyDescent="0.2">
      <c r="A254" s="751"/>
      <c r="B254" s="751"/>
      <c r="C254" s="1334"/>
      <c r="D254" s="1335" t="s">
        <v>1186</v>
      </c>
      <c r="E254" s="1336"/>
      <c r="F254" s="1336"/>
      <c r="G254" s="1337"/>
      <c r="H254" s="1338"/>
      <c r="I254" s="1339"/>
      <c r="J254" s="1339"/>
      <c r="K254" s="747"/>
      <c r="L254" s="896"/>
      <c r="M254" s="1225"/>
      <c r="N254" s="1340"/>
      <c r="O254" s="1340"/>
    </row>
    <row r="255" spans="1:15" s="896" customFormat="1" ht="15.75" customHeight="1" x14ac:dyDescent="0.2">
      <c r="A255" s="1335" t="s">
        <v>1187</v>
      </c>
      <c r="B255" s="751"/>
      <c r="C255" s="1334"/>
      <c r="D255" s="1342"/>
      <c r="E255" s="1336"/>
      <c r="F255" s="1336"/>
      <c r="G255" s="1337"/>
      <c r="H255" s="1338"/>
      <c r="I255" s="1339"/>
      <c r="J255" s="1339"/>
      <c r="K255" s="747"/>
      <c r="M255" s="1225"/>
      <c r="N255" s="895"/>
      <c r="O255" s="895"/>
    </row>
    <row r="256" spans="1:15" ht="15.75" customHeight="1" x14ac:dyDescent="0.2">
      <c r="A256" s="355"/>
      <c r="B256" s="355"/>
      <c r="G256" s="355"/>
      <c r="H256" s="356"/>
      <c r="M256" s="1220"/>
      <c r="N256" s="321"/>
      <c r="O256" s="14"/>
    </row>
    <row r="257" spans="1:15" ht="105.75" customHeight="1" x14ac:dyDescent="0.2">
      <c r="A257" s="754" t="s">
        <v>28</v>
      </c>
      <c r="B257" s="754" t="s">
        <v>29</v>
      </c>
      <c r="C257" s="755" t="s">
        <v>30</v>
      </c>
      <c r="D257" s="756" t="s">
        <v>367</v>
      </c>
      <c r="E257" s="755" t="s">
        <v>368</v>
      </c>
      <c r="F257" s="754" t="s">
        <v>31</v>
      </c>
      <c r="G257" s="564" t="s">
        <v>0</v>
      </c>
      <c r="H257" s="757" t="s">
        <v>1</v>
      </c>
      <c r="I257" s="624" t="s">
        <v>934</v>
      </c>
      <c r="J257" s="625" t="s">
        <v>356</v>
      </c>
      <c r="K257" s="626" t="s">
        <v>208</v>
      </c>
      <c r="M257" s="1220"/>
      <c r="N257" s="321"/>
      <c r="O257" s="14"/>
    </row>
    <row r="258" spans="1:15" x14ac:dyDescent="0.2">
      <c r="A258" s="758">
        <v>1</v>
      </c>
      <c r="B258" s="759">
        <v>2</v>
      </c>
      <c r="C258" s="758">
        <v>3</v>
      </c>
      <c r="D258" s="758" t="s">
        <v>363</v>
      </c>
      <c r="E258" s="758" t="s">
        <v>364</v>
      </c>
      <c r="F258" s="760" t="s">
        <v>32</v>
      </c>
      <c r="G258" s="510" t="s">
        <v>365</v>
      </c>
      <c r="H258" s="758" t="s">
        <v>366</v>
      </c>
      <c r="I258" s="95">
        <v>9</v>
      </c>
      <c r="J258" s="95">
        <v>10</v>
      </c>
      <c r="K258" s="95">
        <v>11</v>
      </c>
      <c r="M258" s="1220"/>
      <c r="N258" s="321"/>
      <c r="O258" s="14"/>
    </row>
    <row r="259" spans="1:15" x14ac:dyDescent="0.2">
      <c r="A259" s="761" t="s">
        <v>341</v>
      </c>
      <c r="B259" s="762"/>
      <c r="C259" s="762"/>
      <c r="D259" s="763"/>
      <c r="E259" s="763"/>
      <c r="F259" s="750"/>
      <c r="G259" s="30"/>
      <c r="H259" s="764" t="s">
        <v>33</v>
      </c>
      <c r="I259" s="41"/>
      <c r="J259" s="41"/>
      <c r="K259" s="120"/>
      <c r="L259" s="35"/>
      <c r="M259" s="1220"/>
      <c r="N259" s="321"/>
      <c r="O259" s="14"/>
    </row>
    <row r="260" spans="1:15" x14ac:dyDescent="0.2">
      <c r="A260" s="765"/>
      <c r="B260" s="766"/>
      <c r="C260" s="766"/>
      <c r="D260" s="148" t="s">
        <v>534</v>
      </c>
      <c r="E260" s="767"/>
      <c r="F260" s="134"/>
      <c r="G260" s="135"/>
      <c r="H260" s="220" t="s">
        <v>533</v>
      </c>
      <c r="I260" s="768">
        <f>SUM(I282+I297)</f>
        <v>27647800</v>
      </c>
      <c r="J260" s="768"/>
      <c r="K260" s="769">
        <f>SUM(K282+K297)</f>
        <v>27647800</v>
      </c>
    </row>
    <row r="261" spans="1:15" ht="16.5" customHeight="1" x14ac:dyDescent="0.2">
      <c r="A261" s="765"/>
      <c r="B261" s="766"/>
      <c r="C261" s="766"/>
      <c r="D261" s="148"/>
      <c r="E261" s="767"/>
      <c r="F261" s="134"/>
      <c r="G261" s="135"/>
      <c r="H261" s="144"/>
      <c r="I261" s="770"/>
      <c r="J261" s="770"/>
      <c r="K261" s="771"/>
      <c r="L261" s="358"/>
    </row>
    <row r="262" spans="1:15" x14ac:dyDescent="0.2">
      <c r="A262" s="772"/>
      <c r="B262" s="773"/>
      <c r="C262" s="773"/>
      <c r="D262" s="99"/>
      <c r="E262" s="176"/>
      <c r="F262" s="1"/>
      <c r="G262" s="38"/>
      <c r="H262" s="136" t="s">
        <v>334</v>
      </c>
      <c r="I262" s="774"/>
      <c r="J262" s="774"/>
      <c r="K262" s="775"/>
    </row>
    <row r="263" spans="1:15" s="3" customFormat="1" ht="19.5" customHeight="1" x14ac:dyDescent="0.2">
      <c r="A263" s="772"/>
      <c r="B263" s="773"/>
      <c r="C263" s="773"/>
      <c r="D263" s="98"/>
      <c r="E263" s="128" t="s">
        <v>530</v>
      </c>
      <c r="F263" s="1"/>
      <c r="G263" s="40"/>
      <c r="H263" s="137" t="s">
        <v>531</v>
      </c>
      <c r="I263" s="776"/>
      <c r="J263" s="776"/>
      <c r="K263" s="777"/>
      <c r="L263" s="26"/>
      <c r="M263" s="1223"/>
      <c r="N263" s="36"/>
      <c r="O263" s="36"/>
    </row>
    <row r="264" spans="1:15" x14ac:dyDescent="0.2">
      <c r="A264" s="772"/>
      <c r="B264" s="773"/>
      <c r="C264" s="773"/>
      <c r="D264" s="125"/>
      <c r="E264" s="126"/>
      <c r="F264" s="37"/>
      <c r="G264" s="28"/>
      <c r="H264" s="29"/>
      <c r="I264" s="37"/>
      <c r="J264" s="37"/>
      <c r="K264" s="116"/>
      <c r="L264" s="361"/>
    </row>
    <row r="265" spans="1:15" s="364" customFormat="1" ht="22.5" x14ac:dyDescent="0.2">
      <c r="A265" s="98"/>
      <c r="B265" s="111"/>
      <c r="C265" s="111">
        <v>110</v>
      </c>
      <c r="D265" s="778"/>
      <c r="E265" s="128"/>
      <c r="F265" s="1"/>
      <c r="G265" s="39"/>
      <c r="H265" s="143" t="s">
        <v>370</v>
      </c>
      <c r="I265" s="467"/>
      <c r="J265" s="467"/>
      <c r="K265" s="779"/>
      <c r="L265" s="26"/>
      <c r="M265" s="1224"/>
      <c r="N265" s="363"/>
      <c r="O265" s="363"/>
    </row>
    <row r="266" spans="1:15" x14ac:dyDescent="0.2">
      <c r="A266" s="780"/>
      <c r="B266" s="781"/>
      <c r="C266" s="781"/>
      <c r="D266" s="782"/>
      <c r="E266" s="249"/>
      <c r="F266" s="42"/>
      <c r="G266" s="783"/>
      <c r="H266" s="784"/>
      <c r="I266" s="785"/>
      <c r="J266" s="785"/>
      <c r="K266" s="786"/>
      <c r="L266" s="368"/>
    </row>
    <row r="267" spans="1:15" x14ac:dyDescent="0.2">
      <c r="A267" s="100"/>
      <c r="B267" s="787"/>
      <c r="C267" s="120"/>
      <c r="D267" s="100"/>
      <c r="E267" s="246"/>
      <c r="F267" s="124">
        <v>1</v>
      </c>
      <c r="G267" s="95">
        <v>411</v>
      </c>
      <c r="H267" s="90" t="s">
        <v>2</v>
      </c>
      <c r="I267" s="1275">
        <v>2488198</v>
      </c>
      <c r="J267" s="160"/>
      <c r="K267" s="160">
        <f t="shared" ref="K267:K278" si="10">SUM(I267+J267)</f>
        <v>2488198</v>
      </c>
    </row>
    <row r="268" spans="1:15" s="327" customFormat="1" x14ac:dyDescent="0.2">
      <c r="A268" s="99"/>
      <c r="B268" s="111"/>
      <c r="C268" s="119"/>
      <c r="D268" s="99"/>
      <c r="E268" s="176"/>
      <c r="F268" s="124">
        <v>2</v>
      </c>
      <c r="G268" s="95">
        <v>412</v>
      </c>
      <c r="H268" s="89" t="s">
        <v>3</v>
      </c>
      <c r="I268" s="1275">
        <v>446802</v>
      </c>
      <c r="J268" s="160"/>
      <c r="K268" s="160">
        <f t="shared" si="10"/>
        <v>446802</v>
      </c>
      <c r="L268" s="26"/>
      <c r="M268" s="1225"/>
      <c r="N268" s="326"/>
      <c r="O268" s="326"/>
    </row>
    <row r="269" spans="1:15" x14ac:dyDescent="0.2">
      <c r="A269" s="99"/>
      <c r="B269" s="111"/>
      <c r="C269" s="119"/>
      <c r="D269" s="99"/>
      <c r="E269" s="176"/>
      <c r="F269" s="124">
        <v>3</v>
      </c>
      <c r="G269" s="95">
        <v>413</v>
      </c>
      <c r="H269" s="89" t="s">
        <v>34</v>
      </c>
      <c r="I269" s="160">
        <v>50000</v>
      </c>
      <c r="J269" s="160"/>
      <c r="K269" s="160">
        <f t="shared" si="10"/>
        <v>50000</v>
      </c>
    </row>
    <row r="270" spans="1:15" x14ac:dyDescent="0.2">
      <c r="A270" s="99"/>
      <c r="B270" s="111"/>
      <c r="C270" s="119"/>
      <c r="D270" s="99"/>
      <c r="E270" s="176"/>
      <c r="F270" s="124">
        <v>4</v>
      </c>
      <c r="G270" s="95">
        <v>414</v>
      </c>
      <c r="H270" s="90" t="s">
        <v>35</v>
      </c>
      <c r="I270" s="160">
        <v>200000</v>
      </c>
      <c r="J270" s="160"/>
      <c r="K270" s="160">
        <f t="shared" si="10"/>
        <v>200000</v>
      </c>
    </row>
    <row r="271" spans="1:15" x14ac:dyDescent="0.2">
      <c r="A271" s="99"/>
      <c r="B271" s="111"/>
      <c r="C271" s="119"/>
      <c r="D271" s="99"/>
      <c r="E271" s="176"/>
      <c r="F271" s="124">
        <v>5</v>
      </c>
      <c r="G271" s="95">
        <v>415</v>
      </c>
      <c r="H271" s="89" t="s">
        <v>5</v>
      </c>
      <c r="I271" s="160">
        <v>100000</v>
      </c>
      <c r="J271" s="160"/>
      <c r="K271" s="160">
        <f t="shared" si="10"/>
        <v>100000</v>
      </c>
    </row>
    <row r="272" spans="1:15" x14ac:dyDescent="0.2">
      <c r="A272" s="99"/>
      <c r="B272" s="111"/>
      <c r="C272" s="119"/>
      <c r="D272" s="99"/>
      <c r="E272" s="176"/>
      <c r="F272" s="124">
        <v>6</v>
      </c>
      <c r="G272" s="95">
        <v>416</v>
      </c>
      <c r="H272" s="89" t="s">
        <v>6</v>
      </c>
      <c r="I272" s="160">
        <v>1910000</v>
      </c>
      <c r="J272" s="160"/>
      <c r="K272" s="160">
        <f t="shared" si="10"/>
        <v>1910000</v>
      </c>
    </row>
    <row r="273" spans="1:15" x14ac:dyDescent="0.2">
      <c r="A273" s="99"/>
      <c r="B273" s="111"/>
      <c r="C273" s="119"/>
      <c r="D273" s="99"/>
      <c r="E273" s="176"/>
      <c r="F273" s="124">
        <v>7</v>
      </c>
      <c r="G273" s="95">
        <v>422</v>
      </c>
      <c r="H273" s="89" t="s">
        <v>8</v>
      </c>
      <c r="I273" s="160">
        <v>200000</v>
      </c>
      <c r="J273" s="160"/>
      <c r="K273" s="160">
        <f t="shared" si="10"/>
        <v>200000</v>
      </c>
    </row>
    <row r="274" spans="1:15" x14ac:dyDescent="0.2">
      <c r="A274" s="99"/>
      <c r="B274" s="111"/>
      <c r="C274" s="119"/>
      <c r="D274" s="99"/>
      <c r="E274" s="176"/>
      <c r="F274" s="124">
        <v>8</v>
      </c>
      <c r="G274" s="95">
        <v>423</v>
      </c>
      <c r="H274" s="90" t="s">
        <v>9</v>
      </c>
      <c r="I274" s="1276">
        <v>19000000</v>
      </c>
      <c r="J274" s="160"/>
      <c r="K274" s="160">
        <f t="shared" si="10"/>
        <v>19000000</v>
      </c>
    </row>
    <row r="275" spans="1:15" x14ac:dyDescent="0.2">
      <c r="A275" s="99"/>
      <c r="B275" s="111"/>
      <c r="C275" s="119"/>
      <c r="D275" s="99"/>
      <c r="E275" s="176"/>
      <c r="F275" s="124">
        <v>9</v>
      </c>
      <c r="G275" s="95">
        <v>424</v>
      </c>
      <c r="H275" s="90" t="s">
        <v>10</v>
      </c>
      <c r="I275" s="160">
        <v>300000</v>
      </c>
      <c r="J275" s="160"/>
      <c r="K275" s="160">
        <f t="shared" si="10"/>
        <v>300000</v>
      </c>
    </row>
    <row r="276" spans="1:15" x14ac:dyDescent="0.2">
      <c r="A276" s="99"/>
      <c r="B276" s="111"/>
      <c r="C276" s="119"/>
      <c r="D276" s="99"/>
      <c r="E276" s="176"/>
      <c r="F276" s="124">
        <v>10</v>
      </c>
      <c r="G276" s="95">
        <v>426</v>
      </c>
      <c r="H276" s="90" t="s">
        <v>36</v>
      </c>
      <c r="I276" s="160">
        <v>150000</v>
      </c>
      <c r="J276" s="160"/>
      <c r="K276" s="160">
        <f t="shared" si="10"/>
        <v>150000</v>
      </c>
    </row>
    <row r="277" spans="1:15" x14ac:dyDescent="0.2">
      <c r="A277" s="99"/>
      <c r="B277" s="111"/>
      <c r="C277" s="119"/>
      <c r="D277" s="99"/>
      <c r="E277" s="176"/>
      <c r="F277" s="124">
        <v>11</v>
      </c>
      <c r="G277" s="95">
        <v>465</v>
      </c>
      <c r="H277" s="90" t="s">
        <v>218</v>
      </c>
      <c r="I277" s="1275">
        <f>279800+19000</f>
        <v>298800</v>
      </c>
      <c r="J277" s="160"/>
      <c r="K277" s="160">
        <f t="shared" si="10"/>
        <v>298800</v>
      </c>
    </row>
    <row r="278" spans="1:15" x14ac:dyDescent="0.2">
      <c r="A278" s="99"/>
      <c r="B278" s="111"/>
      <c r="C278" s="119"/>
      <c r="D278" s="99"/>
      <c r="E278" s="176"/>
      <c r="F278" s="124">
        <v>12</v>
      </c>
      <c r="G278" s="95">
        <v>481</v>
      </c>
      <c r="H278" s="90" t="s">
        <v>37</v>
      </c>
      <c r="I278" s="160">
        <v>2500000</v>
      </c>
      <c r="J278" s="160"/>
      <c r="K278" s="160">
        <f t="shared" si="10"/>
        <v>2500000</v>
      </c>
    </row>
    <row r="279" spans="1:15" x14ac:dyDescent="0.2">
      <c r="A279" s="99"/>
      <c r="B279" s="111"/>
      <c r="C279" s="119"/>
      <c r="D279" s="99"/>
      <c r="E279" s="176"/>
      <c r="F279" s="1"/>
      <c r="G279" s="1"/>
      <c r="H279" s="142" t="s">
        <v>791</v>
      </c>
      <c r="I279" s="210">
        <f>SUM(I267:I278)</f>
        <v>27643800</v>
      </c>
      <c r="J279" s="210"/>
      <c r="K279" s="211">
        <f>SUM(K267:K278)</f>
        <v>27643800</v>
      </c>
    </row>
    <row r="280" spans="1:15" x14ac:dyDescent="0.2">
      <c r="A280" s="100"/>
      <c r="B280" s="787"/>
      <c r="C280" s="120"/>
      <c r="D280" s="100"/>
      <c r="E280" s="246"/>
      <c r="F280" s="41"/>
      <c r="G280" s="41"/>
      <c r="H280" s="138" t="s">
        <v>38</v>
      </c>
      <c r="I280" s="163"/>
      <c r="J280" s="163"/>
      <c r="K280" s="164"/>
    </row>
    <row r="281" spans="1:15" x14ac:dyDescent="0.2">
      <c r="A281" s="99"/>
      <c r="B281" s="111"/>
      <c r="C281" s="119"/>
      <c r="D281" s="99"/>
      <c r="E281" s="176"/>
      <c r="F281" s="1"/>
      <c r="G281" s="38" t="s">
        <v>39</v>
      </c>
      <c r="H281" s="90" t="s">
        <v>40</v>
      </c>
      <c r="I281" s="160">
        <f>SUM(I279)</f>
        <v>27643800</v>
      </c>
      <c r="J281" s="160"/>
      <c r="K281" s="160">
        <f>SUM(I281+J281)</f>
        <v>27643800</v>
      </c>
    </row>
    <row r="282" spans="1:15" x14ac:dyDescent="0.2">
      <c r="A282" s="101"/>
      <c r="B282" s="781"/>
      <c r="C282" s="121"/>
      <c r="D282" s="101"/>
      <c r="E282" s="177"/>
      <c r="F282" s="42"/>
      <c r="G282" s="43"/>
      <c r="H282" s="96" t="s">
        <v>41</v>
      </c>
      <c r="I282" s="161">
        <f>SUM(I281)</f>
        <v>27643800</v>
      </c>
      <c r="J282" s="161"/>
      <c r="K282" s="161">
        <f t="shared" ref="K282" si="11">SUM(K281)</f>
        <v>27643800</v>
      </c>
    </row>
    <row r="283" spans="1:15" x14ac:dyDescent="0.2">
      <c r="A283" s="788"/>
      <c r="B283" s="789"/>
      <c r="C283" s="790"/>
      <c r="D283" s="788"/>
      <c r="E283" s="767"/>
      <c r="F283" s="134"/>
      <c r="G283" s="135"/>
      <c r="H283" s="144"/>
      <c r="I283" s="791"/>
      <c r="J283" s="791"/>
      <c r="K283" s="792"/>
      <c r="L283" s="358"/>
    </row>
    <row r="284" spans="1:15" x14ac:dyDescent="0.2">
      <c r="A284" s="99"/>
      <c r="B284" s="111"/>
      <c r="C284" s="119"/>
      <c r="D284" s="99"/>
      <c r="E284" s="176"/>
      <c r="F284" s="1"/>
      <c r="G284" s="38"/>
      <c r="H284" s="136" t="s">
        <v>334</v>
      </c>
      <c r="I284" s="139"/>
      <c r="J284" s="139"/>
      <c r="K284" s="140"/>
    </row>
    <row r="285" spans="1:15" x14ac:dyDescent="0.2">
      <c r="A285" s="99"/>
      <c r="B285" s="111"/>
      <c r="C285" s="119"/>
      <c r="D285" s="99"/>
      <c r="E285" s="128" t="s">
        <v>530</v>
      </c>
      <c r="F285" s="1"/>
      <c r="G285" s="40"/>
      <c r="H285" s="137" t="s">
        <v>531</v>
      </c>
      <c r="I285" s="141"/>
      <c r="J285" s="141"/>
      <c r="K285" s="793"/>
    </row>
    <row r="286" spans="1:15" x14ac:dyDescent="0.2">
      <c r="A286" s="99"/>
      <c r="B286" s="111"/>
      <c r="C286" s="119"/>
      <c r="D286" s="99"/>
      <c r="E286" s="128"/>
      <c r="F286" s="1"/>
      <c r="G286" s="40"/>
      <c r="H286" s="144"/>
      <c r="I286" s="145"/>
      <c r="J286" s="145"/>
      <c r="K286" s="794"/>
    </row>
    <row r="287" spans="1:15" s="364" customFormat="1" x14ac:dyDescent="0.2">
      <c r="A287" s="99"/>
      <c r="B287" s="111"/>
      <c r="C287" s="119"/>
      <c r="D287" s="99"/>
      <c r="E287" s="176"/>
      <c r="F287" s="1"/>
      <c r="G287" s="1"/>
      <c r="H287" s="146" t="s">
        <v>42</v>
      </c>
      <c r="I287" s="467"/>
      <c r="J287" s="467"/>
      <c r="K287" s="468"/>
      <c r="L287" s="26"/>
      <c r="M287" s="1224"/>
      <c r="N287" s="363"/>
      <c r="O287" s="363"/>
    </row>
    <row r="288" spans="1:15" x14ac:dyDescent="0.2">
      <c r="A288" s="98"/>
      <c r="B288" s="111"/>
      <c r="C288" s="111">
        <v>160</v>
      </c>
      <c r="D288" s="98"/>
      <c r="E288" s="128"/>
      <c r="F288" s="39"/>
      <c r="G288" s="39"/>
      <c r="H288" s="146" t="s">
        <v>369</v>
      </c>
      <c r="I288" s="467"/>
      <c r="J288" s="467"/>
      <c r="K288" s="468"/>
    </row>
    <row r="289" spans="1:15" x14ac:dyDescent="0.2">
      <c r="A289" s="98"/>
      <c r="B289" s="111"/>
      <c r="C289" s="111"/>
      <c r="D289" s="98"/>
      <c r="E289" s="128"/>
      <c r="F289" s="39"/>
      <c r="G289" s="39"/>
      <c r="H289" s="795"/>
      <c r="I289" s="48"/>
      <c r="J289" s="48"/>
      <c r="K289" s="205"/>
    </row>
    <row r="290" spans="1:15" x14ac:dyDescent="0.2">
      <c r="A290" s="98"/>
      <c r="B290" s="111"/>
      <c r="C290" s="111"/>
      <c r="D290" s="98"/>
      <c r="E290" s="128"/>
      <c r="F290" s="124">
        <v>13</v>
      </c>
      <c r="G290" s="95">
        <v>416</v>
      </c>
      <c r="H290" s="89" t="s">
        <v>6</v>
      </c>
      <c r="I290" s="160">
        <v>1000</v>
      </c>
      <c r="J290" s="160"/>
      <c r="K290" s="160">
        <f>SUM(I290+J290)</f>
        <v>1000</v>
      </c>
    </row>
    <row r="291" spans="1:15" x14ac:dyDescent="0.2">
      <c r="A291" s="98"/>
      <c r="B291" s="111"/>
      <c r="C291" s="111"/>
      <c r="D291" s="98"/>
      <c r="E291" s="128"/>
      <c r="F291" s="124">
        <v>14</v>
      </c>
      <c r="G291" s="95">
        <v>421</v>
      </c>
      <c r="H291" s="89" t="s">
        <v>7</v>
      </c>
      <c r="I291" s="160">
        <v>1000</v>
      </c>
      <c r="J291" s="160"/>
      <c r="K291" s="160">
        <f>SUM(I291+J291)</f>
        <v>1000</v>
      </c>
    </row>
    <row r="292" spans="1:15" x14ac:dyDescent="0.2">
      <c r="A292" s="99"/>
      <c r="B292" s="111"/>
      <c r="C292" s="119"/>
      <c r="D292" s="99"/>
      <c r="E292" s="176"/>
      <c r="F292" s="124">
        <v>15</v>
      </c>
      <c r="G292" s="95">
        <v>423</v>
      </c>
      <c r="H292" s="90" t="s">
        <v>9</v>
      </c>
      <c r="I292" s="160">
        <v>1000</v>
      </c>
      <c r="J292" s="160"/>
      <c r="K292" s="160">
        <f>SUM(I292+J292)</f>
        <v>1000</v>
      </c>
    </row>
    <row r="293" spans="1:15" x14ac:dyDescent="0.2">
      <c r="A293" s="99"/>
      <c r="B293" s="111"/>
      <c r="C293" s="119"/>
      <c r="D293" s="99"/>
      <c r="E293" s="176"/>
      <c r="F293" s="124">
        <v>16</v>
      </c>
      <c r="G293" s="95">
        <v>426</v>
      </c>
      <c r="H293" s="90" t="s">
        <v>36</v>
      </c>
      <c r="I293" s="160">
        <v>1000</v>
      </c>
      <c r="J293" s="160"/>
      <c r="K293" s="160">
        <f>SUM(I293+J293)</f>
        <v>1000</v>
      </c>
    </row>
    <row r="294" spans="1:15" x14ac:dyDescent="0.2">
      <c r="A294" s="99"/>
      <c r="B294" s="111"/>
      <c r="C294" s="119"/>
      <c r="D294" s="99"/>
      <c r="E294" s="176"/>
      <c r="F294" s="1"/>
      <c r="G294" s="1"/>
      <c r="H294" s="796" t="s">
        <v>791</v>
      </c>
      <c r="I294" s="797">
        <f>SUM(I290:I293)</f>
        <v>4000</v>
      </c>
      <c r="J294" s="797"/>
      <c r="K294" s="798">
        <f t="shared" ref="K294" si="12">SUM(K290:K293)</f>
        <v>4000</v>
      </c>
    </row>
    <row r="295" spans="1:15" x14ac:dyDescent="0.2">
      <c r="A295" s="100"/>
      <c r="B295" s="787"/>
      <c r="C295" s="120"/>
      <c r="D295" s="100"/>
      <c r="E295" s="246"/>
      <c r="F295" s="41"/>
      <c r="G295" s="41"/>
      <c r="H295" s="138" t="s">
        <v>44</v>
      </c>
      <c r="I295" s="163"/>
      <c r="J295" s="163"/>
      <c r="K295" s="164"/>
    </row>
    <row r="296" spans="1:15" x14ac:dyDescent="0.2">
      <c r="A296" s="99"/>
      <c r="B296" s="111"/>
      <c r="C296" s="119"/>
      <c r="D296" s="99"/>
      <c r="E296" s="176"/>
      <c r="F296" s="1"/>
      <c r="G296" s="38" t="s">
        <v>39</v>
      </c>
      <c r="H296" s="93" t="s">
        <v>40</v>
      </c>
      <c r="I296" s="242">
        <f>SUM(I294)</f>
        <v>4000</v>
      </c>
      <c r="J296" s="242"/>
      <c r="K296" s="242">
        <f>SUM(I296+J296)</f>
        <v>4000</v>
      </c>
    </row>
    <row r="297" spans="1:15" x14ac:dyDescent="0.2">
      <c r="A297" s="101"/>
      <c r="B297" s="781"/>
      <c r="C297" s="121"/>
      <c r="D297" s="101"/>
      <c r="E297" s="177"/>
      <c r="F297" s="42"/>
      <c r="G297" s="43"/>
      <c r="H297" s="96" t="s">
        <v>45</v>
      </c>
      <c r="I297" s="161">
        <f>SUM(I296)</f>
        <v>4000</v>
      </c>
      <c r="J297" s="161"/>
      <c r="K297" s="161">
        <f t="shared" ref="K297" si="13">SUM(K296)</f>
        <v>4000</v>
      </c>
    </row>
    <row r="298" spans="1:15" x14ac:dyDescent="0.2">
      <c r="A298" s="99"/>
      <c r="B298" s="111"/>
      <c r="C298" s="119"/>
      <c r="D298" s="99"/>
      <c r="E298" s="176"/>
      <c r="F298" s="1"/>
      <c r="G298" s="38"/>
      <c r="H298" s="44"/>
      <c r="I298" s="47"/>
      <c r="J298" s="47"/>
      <c r="K298" s="199"/>
    </row>
    <row r="299" spans="1:15" x14ac:dyDescent="0.2">
      <c r="A299" s="99"/>
      <c r="B299" s="111"/>
      <c r="C299" s="119"/>
      <c r="D299" s="99"/>
      <c r="E299" s="176"/>
      <c r="F299" s="1"/>
      <c r="G299" s="38" t="s">
        <v>39</v>
      </c>
      <c r="H299" s="93" t="s">
        <v>40</v>
      </c>
      <c r="I299" s="242">
        <f>SUM(I282+I297)</f>
        <v>27647800</v>
      </c>
      <c r="J299" s="242"/>
      <c r="K299" s="242">
        <f>SUM(I299+J299)</f>
        <v>27647800</v>
      </c>
    </row>
    <row r="300" spans="1:15" x14ac:dyDescent="0.2">
      <c r="A300" s="101"/>
      <c r="B300" s="781"/>
      <c r="C300" s="121"/>
      <c r="D300" s="101"/>
      <c r="E300" s="177"/>
      <c r="F300" s="42"/>
      <c r="G300" s="43"/>
      <c r="H300" s="96" t="s">
        <v>362</v>
      </c>
      <c r="I300" s="161">
        <f>SUM(I299)</f>
        <v>27647800</v>
      </c>
      <c r="J300" s="161"/>
      <c r="K300" s="161">
        <f t="shared" ref="K300" si="14">SUM(K299)</f>
        <v>27647800</v>
      </c>
    </row>
    <row r="301" spans="1:15" x14ac:dyDescent="0.2">
      <c r="A301" s="99"/>
      <c r="B301" s="111"/>
      <c r="C301" s="119"/>
      <c r="D301" s="99"/>
      <c r="E301" s="176"/>
      <c r="F301" s="1"/>
      <c r="G301" s="38"/>
      <c r="H301" s="44"/>
      <c r="I301" s="47"/>
      <c r="J301" s="47"/>
      <c r="K301" s="199"/>
    </row>
    <row r="302" spans="1:15" s="810" customFormat="1" x14ac:dyDescent="0.2">
      <c r="A302" s="799" t="s">
        <v>342</v>
      </c>
      <c r="B302" s="800"/>
      <c r="C302" s="801"/>
      <c r="D302" s="802"/>
      <c r="E302" s="803"/>
      <c r="F302" s="804"/>
      <c r="G302" s="805"/>
      <c r="H302" s="806" t="s">
        <v>985</v>
      </c>
      <c r="I302" s="807"/>
      <c r="J302" s="807"/>
      <c r="K302" s="808"/>
      <c r="L302" s="695"/>
      <c r="M302" s="1223"/>
      <c r="N302" s="809"/>
      <c r="O302" s="809"/>
    </row>
    <row r="303" spans="1:15" s="810" customFormat="1" x14ac:dyDescent="0.2">
      <c r="A303" s="811"/>
      <c r="B303" s="812"/>
      <c r="C303" s="813"/>
      <c r="D303" s="493" t="s">
        <v>296</v>
      </c>
      <c r="E303" s="814"/>
      <c r="F303" s="494"/>
      <c r="G303" s="815"/>
      <c r="H303" s="816" t="s">
        <v>535</v>
      </c>
      <c r="I303" s="817">
        <f>SUM(I324)</f>
        <v>4403400</v>
      </c>
      <c r="J303" s="817"/>
      <c r="K303" s="818">
        <f>SUM(K324)</f>
        <v>4403400</v>
      </c>
      <c r="L303" s="819"/>
      <c r="M303" s="1223"/>
      <c r="N303" s="809"/>
      <c r="O303" s="809"/>
    </row>
    <row r="304" spans="1:15" s="810" customFormat="1" x14ac:dyDescent="0.2">
      <c r="A304" s="820"/>
      <c r="B304" s="821"/>
      <c r="C304" s="811"/>
      <c r="D304" s="493"/>
      <c r="E304" s="814"/>
      <c r="F304" s="494"/>
      <c r="G304" s="815"/>
      <c r="H304" s="495"/>
      <c r="I304" s="822"/>
      <c r="J304" s="822"/>
      <c r="K304" s="823"/>
      <c r="L304" s="824"/>
      <c r="M304" s="1223"/>
      <c r="N304" s="809"/>
      <c r="O304" s="809"/>
    </row>
    <row r="305" spans="1:15" s="810" customFormat="1" ht="16.5" customHeight="1" x14ac:dyDescent="0.2">
      <c r="A305" s="825"/>
      <c r="B305" s="826"/>
      <c r="C305" s="827"/>
      <c r="D305" s="825"/>
      <c r="E305" s="828"/>
      <c r="F305" s="484"/>
      <c r="G305" s="805"/>
      <c r="H305" s="485" t="s">
        <v>511</v>
      </c>
      <c r="I305" s="829"/>
      <c r="J305" s="829"/>
      <c r="K305" s="830"/>
      <c r="L305" s="695"/>
      <c r="M305" s="1223"/>
      <c r="N305" s="809"/>
      <c r="O305" s="809"/>
    </row>
    <row r="306" spans="1:15" s="537" customFormat="1" ht="15.75" customHeight="1" x14ac:dyDescent="0.2">
      <c r="A306" s="825"/>
      <c r="B306" s="826"/>
      <c r="C306" s="827"/>
      <c r="D306" s="831"/>
      <c r="E306" s="483" t="s">
        <v>512</v>
      </c>
      <c r="F306" s="484"/>
      <c r="G306" s="832"/>
      <c r="H306" s="489" t="s">
        <v>532</v>
      </c>
      <c r="I306" s="833"/>
      <c r="J306" s="833"/>
      <c r="K306" s="492"/>
      <c r="L306" s="695"/>
      <c r="M306" s="1223"/>
      <c r="N306" s="834"/>
      <c r="O306" s="834"/>
    </row>
    <row r="307" spans="1:15" s="839" customFormat="1" x14ac:dyDescent="0.2">
      <c r="A307" s="835"/>
      <c r="B307" s="836"/>
      <c r="C307" s="827"/>
      <c r="D307" s="835"/>
      <c r="E307" s="828"/>
      <c r="F307" s="484"/>
      <c r="G307" s="832"/>
      <c r="H307" s="837"/>
      <c r="I307" s="832"/>
      <c r="J307" s="832"/>
      <c r="K307" s="836"/>
      <c r="L307" s="695"/>
      <c r="M307" s="1224"/>
      <c r="N307" s="838"/>
      <c r="O307" s="838"/>
    </row>
    <row r="308" spans="1:15" s="844" customFormat="1" ht="22.5" x14ac:dyDescent="0.2">
      <c r="A308" s="825"/>
      <c r="B308" s="826"/>
      <c r="C308" s="826">
        <v>110</v>
      </c>
      <c r="D308" s="825"/>
      <c r="E308" s="828"/>
      <c r="F308" s="484"/>
      <c r="G308" s="805"/>
      <c r="H308" s="840" t="s">
        <v>370</v>
      </c>
      <c r="I308" s="841"/>
      <c r="J308" s="841"/>
      <c r="K308" s="842"/>
      <c r="L308" s="695"/>
      <c r="M308" s="822"/>
      <c r="N308" s="843"/>
      <c r="O308" s="843"/>
    </row>
    <row r="309" spans="1:15" s="810" customFormat="1" x14ac:dyDescent="0.2">
      <c r="A309" s="825"/>
      <c r="B309" s="826"/>
      <c r="C309" s="826"/>
      <c r="D309" s="845"/>
      <c r="E309" s="483"/>
      <c r="F309" s="484"/>
      <c r="G309" s="846"/>
      <c r="H309" s="847"/>
      <c r="I309" s="807"/>
      <c r="J309" s="807"/>
      <c r="K309" s="808"/>
      <c r="L309" s="695"/>
      <c r="M309" s="1223"/>
      <c r="N309" s="809"/>
      <c r="O309" s="809"/>
    </row>
    <row r="310" spans="1:15" s="810" customFormat="1" x14ac:dyDescent="0.2">
      <c r="A310" s="848"/>
      <c r="B310" s="849"/>
      <c r="C310" s="850"/>
      <c r="D310" s="848"/>
      <c r="E310" s="502"/>
      <c r="F310" s="499">
        <v>17</v>
      </c>
      <c r="G310" s="500">
        <v>411</v>
      </c>
      <c r="H310" s="12" t="s">
        <v>2</v>
      </c>
      <c r="I310" s="1250">
        <f>2624258+109000</f>
        <v>2733258</v>
      </c>
      <c r="J310" s="133"/>
      <c r="K310" s="133">
        <f t="shared" ref="K310:K320" si="15">SUM(I310+J310)</f>
        <v>2733258</v>
      </c>
      <c r="L310" s="26"/>
      <c r="M310" s="1223"/>
      <c r="N310" s="809"/>
      <c r="O310" s="809"/>
    </row>
    <row r="311" spans="1:15" s="810" customFormat="1" x14ac:dyDescent="0.2">
      <c r="A311" s="851"/>
      <c r="B311" s="852"/>
      <c r="C311" s="853"/>
      <c r="D311" s="851"/>
      <c r="E311" s="854"/>
      <c r="F311" s="499">
        <v>18</v>
      </c>
      <c r="G311" s="500">
        <v>412</v>
      </c>
      <c r="H311" s="855" t="s">
        <v>3</v>
      </c>
      <c r="I311" s="1250">
        <f>469742+22000</f>
        <v>491742</v>
      </c>
      <c r="J311" s="133"/>
      <c r="K311" s="133">
        <f t="shared" si="15"/>
        <v>491742</v>
      </c>
      <c r="L311" s="26"/>
      <c r="M311" s="1223"/>
      <c r="N311" s="809"/>
      <c r="O311" s="809"/>
    </row>
    <row r="312" spans="1:15" s="810" customFormat="1" x14ac:dyDescent="0.2">
      <c r="A312" s="825"/>
      <c r="B312" s="826"/>
      <c r="C312" s="827"/>
      <c r="D312" s="825"/>
      <c r="E312" s="828"/>
      <c r="F312" s="499">
        <v>19</v>
      </c>
      <c r="G312" s="500">
        <v>413</v>
      </c>
      <c r="H312" s="855" t="s">
        <v>34</v>
      </c>
      <c r="I312" s="133">
        <v>100000</v>
      </c>
      <c r="J312" s="133"/>
      <c r="K312" s="133">
        <f t="shared" si="15"/>
        <v>100000</v>
      </c>
      <c r="L312" s="695"/>
      <c r="M312" s="1223"/>
      <c r="N312" s="809"/>
      <c r="O312" s="809"/>
    </row>
    <row r="313" spans="1:15" s="810" customFormat="1" x14ac:dyDescent="0.2">
      <c r="A313" s="825"/>
      <c r="B313" s="826"/>
      <c r="C313" s="827"/>
      <c r="D313" s="825"/>
      <c r="E313" s="828"/>
      <c r="F313" s="499">
        <v>20</v>
      </c>
      <c r="G313" s="500">
        <v>414</v>
      </c>
      <c r="H313" s="12" t="s">
        <v>35</v>
      </c>
      <c r="I313" s="133">
        <v>200000</v>
      </c>
      <c r="J313" s="133"/>
      <c r="K313" s="133">
        <f t="shared" si="15"/>
        <v>200000</v>
      </c>
      <c r="L313" s="695"/>
      <c r="M313" s="1223"/>
      <c r="N313" s="809"/>
      <c r="O313" s="809"/>
    </row>
    <row r="314" spans="1:15" s="810" customFormat="1" x14ac:dyDescent="0.2">
      <c r="A314" s="825"/>
      <c r="B314" s="826"/>
      <c r="C314" s="827"/>
      <c r="D314" s="825"/>
      <c r="E314" s="828"/>
      <c r="F314" s="499">
        <v>21</v>
      </c>
      <c r="G314" s="500">
        <v>415</v>
      </c>
      <c r="H314" s="855" t="s">
        <v>5</v>
      </c>
      <c r="I314" s="133">
        <v>80000</v>
      </c>
      <c r="J314" s="133"/>
      <c r="K314" s="133">
        <f t="shared" si="15"/>
        <v>80000</v>
      </c>
      <c r="L314" s="695"/>
      <c r="M314" s="1223"/>
      <c r="N314" s="809"/>
      <c r="O314" s="809"/>
    </row>
    <row r="315" spans="1:15" s="810" customFormat="1" x14ac:dyDescent="0.2">
      <c r="A315" s="825"/>
      <c r="B315" s="826"/>
      <c r="C315" s="827"/>
      <c r="D315" s="825"/>
      <c r="E315" s="828"/>
      <c r="F315" s="499">
        <v>22</v>
      </c>
      <c r="G315" s="500">
        <v>416</v>
      </c>
      <c r="H315" s="855" t="s">
        <v>6</v>
      </c>
      <c r="I315" s="133">
        <v>10000</v>
      </c>
      <c r="J315" s="133"/>
      <c r="K315" s="133">
        <f t="shared" si="15"/>
        <v>10000</v>
      </c>
      <c r="L315" s="695"/>
      <c r="M315" s="1223"/>
      <c r="N315" s="809"/>
      <c r="O315" s="809"/>
    </row>
    <row r="316" spans="1:15" s="810" customFormat="1" x14ac:dyDescent="0.2">
      <c r="A316" s="825"/>
      <c r="B316" s="826"/>
      <c r="C316" s="827"/>
      <c r="D316" s="825"/>
      <c r="E316" s="828"/>
      <c r="F316" s="499">
        <v>23</v>
      </c>
      <c r="G316" s="500">
        <v>421</v>
      </c>
      <c r="H316" s="855" t="s">
        <v>7</v>
      </c>
      <c r="I316" s="133">
        <v>10000</v>
      </c>
      <c r="J316" s="133"/>
      <c r="K316" s="133">
        <f t="shared" si="15"/>
        <v>10000</v>
      </c>
      <c r="L316" s="695"/>
      <c r="M316" s="1223"/>
      <c r="N316" s="809"/>
      <c r="O316" s="809"/>
    </row>
    <row r="317" spans="1:15" s="810" customFormat="1" x14ac:dyDescent="0.2">
      <c r="A317" s="825"/>
      <c r="B317" s="826"/>
      <c r="C317" s="827"/>
      <c r="D317" s="825"/>
      <c r="E317" s="828"/>
      <c r="F317" s="499">
        <v>24</v>
      </c>
      <c r="G317" s="500">
        <v>422</v>
      </c>
      <c r="H317" s="855" t="s">
        <v>8</v>
      </c>
      <c r="I317" s="133">
        <v>50000</v>
      </c>
      <c r="J317" s="133"/>
      <c r="K317" s="133">
        <f t="shared" si="15"/>
        <v>50000</v>
      </c>
      <c r="L317" s="695"/>
      <c r="M317" s="1223"/>
      <c r="N317" s="809"/>
      <c r="O317" s="809"/>
    </row>
    <row r="318" spans="1:15" s="810" customFormat="1" x14ac:dyDescent="0.2">
      <c r="A318" s="825"/>
      <c r="B318" s="826"/>
      <c r="C318" s="827"/>
      <c r="D318" s="825"/>
      <c r="E318" s="828"/>
      <c r="F318" s="499">
        <v>25</v>
      </c>
      <c r="G318" s="500">
        <v>423</v>
      </c>
      <c r="H318" s="12" t="s">
        <v>9</v>
      </c>
      <c r="I318" s="133">
        <v>50000</v>
      </c>
      <c r="J318" s="133"/>
      <c r="K318" s="133">
        <f t="shared" si="15"/>
        <v>50000</v>
      </c>
      <c r="L318" s="695"/>
      <c r="M318" s="1223"/>
      <c r="N318" s="809"/>
      <c r="O318" s="809"/>
    </row>
    <row r="319" spans="1:15" s="810" customFormat="1" x14ac:dyDescent="0.2">
      <c r="A319" s="825"/>
      <c r="B319" s="826"/>
      <c r="C319" s="827"/>
      <c r="D319" s="825"/>
      <c r="E319" s="828"/>
      <c r="F319" s="499">
        <v>26</v>
      </c>
      <c r="G319" s="500">
        <v>426</v>
      </c>
      <c r="H319" s="12" t="s">
        <v>36</v>
      </c>
      <c r="I319" s="133">
        <v>350000</v>
      </c>
      <c r="J319" s="133"/>
      <c r="K319" s="133">
        <f t="shared" si="15"/>
        <v>350000</v>
      </c>
      <c r="L319" s="695"/>
      <c r="M319" s="1223"/>
      <c r="N319" s="809"/>
      <c r="O319" s="809"/>
    </row>
    <row r="320" spans="1:15" s="810" customFormat="1" x14ac:dyDescent="0.2">
      <c r="A320" s="825"/>
      <c r="B320" s="826"/>
      <c r="C320" s="827"/>
      <c r="D320" s="825"/>
      <c r="E320" s="828"/>
      <c r="F320" s="499">
        <v>27</v>
      </c>
      <c r="G320" s="500">
        <v>465</v>
      </c>
      <c r="H320" s="12" t="s">
        <v>218</v>
      </c>
      <c r="I320" s="1250">
        <f>309400+19000</f>
        <v>328400</v>
      </c>
      <c r="J320" s="133"/>
      <c r="K320" s="133">
        <f t="shared" si="15"/>
        <v>328400</v>
      </c>
      <c r="L320" s="26"/>
      <c r="M320" s="1223"/>
      <c r="N320" s="809"/>
      <c r="O320" s="809"/>
    </row>
    <row r="321" spans="1:15" s="810" customFormat="1" x14ac:dyDescent="0.2">
      <c r="A321" s="825"/>
      <c r="B321" s="849"/>
      <c r="C321" s="850"/>
      <c r="D321" s="848"/>
      <c r="E321" s="502"/>
      <c r="F321" s="503"/>
      <c r="G321" s="503"/>
      <c r="H321" s="856" t="s">
        <v>792</v>
      </c>
      <c r="I321" s="243">
        <f>SUM(I310:I320)</f>
        <v>4403400</v>
      </c>
      <c r="J321" s="243"/>
      <c r="K321" s="857">
        <f>SUM(K310:K320)</f>
        <v>4403400</v>
      </c>
      <c r="L321" s="695"/>
      <c r="M321" s="1223"/>
      <c r="N321" s="809"/>
      <c r="O321" s="809"/>
    </row>
    <row r="322" spans="1:15" s="810" customFormat="1" x14ac:dyDescent="0.2">
      <c r="A322" s="851"/>
      <c r="B322" s="826"/>
      <c r="C322" s="827"/>
      <c r="D322" s="825"/>
      <c r="E322" s="828"/>
      <c r="F322" s="484"/>
      <c r="G322" s="484"/>
      <c r="H322" s="858" t="s">
        <v>38</v>
      </c>
      <c r="I322" s="859"/>
      <c r="J322" s="859"/>
      <c r="K322" s="860"/>
      <c r="L322" s="695"/>
      <c r="M322" s="1223"/>
      <c r="N322" s="809"/>
      <c r="O322" s="809"/>
    </row>
    <row r="323" spans="1:15" s="810" customFormat="1" x14ac:dyDescent="0.2">
      <c r="A323" s="825"/>
      <c r="B323" s="826"/>
      <c r="C323" s="827"/>
      <c r="D323" s="825"/>
      <c r="E323" s="828"/>
      <c r="F323" s="484"/>
      <c r="G323" s="805" t="s">
        <v>39</v>
      </c>
      <c r="H323" s="12" t="s">
        <v>40</v>
      </c>
      <c r="I323" s="133">
        <f>SUM(I321)</f>
        <v>4403400</v>
      </c>
      <c r="J323" s="133"/>
      <c r="K323" s="133">
        <f>SUM(I323+J323)</f>
        <v>4403400</v>
      </c>
      <c r="L323" s="695"/>
      <c r="M323" s="1223"/>
      <c r="N323" s="809"/>
      <c r="O323" s="809"/>
    </row>
    <row r="324" spans="1:15" s="810" customFormat="1" x14ac:dyDescent="0.2">
      <c r="A324" s="848"/>
      <c r="B324" s="849"/>
      <c r="C324" s="850"/>
      <c r="D324" s="848"/>
      <c r="E324" s="502"/>
      <c r="F324" s="503"/>
      <c r="G324" s="861"/>
      <c r="H324" s="862" t="s">
        <v>41</v>
      </c>
      <c r="I324" s="173">
        <f>SUM(I323)</f>
        <v>4403400</v>
      </c>
      <c r="J324" s="173"/>
      <c r="K324" s="173">
        <f t="shared" ref="K324" si="16">SUM(K323)</f>
        <v>4403400</v>
      </c>
      <c r="L324" s="695"/>
      <c r="M324" s="1223"/>
      <c r="N324" s="809"/>
      <c r="O324" s="809"/>
    </row>
    <row r="325" spans="1:15" s="810" customFormat="1" x14ac:dyDescent="0.2">
      <c r="A325" s="825"/>
      <c r="B325" s="826"/>
      <c r="C325" s="827"/>
      <c r="D325" s="825"/>
      <c r="E325" s="828"/>
      <c r="F325" s="484"/>
      <c r="G325" s="805"/>
      <c r="H325" s="847"/>
      <c r="I325" s="863"/>
      <c r="J325" s="863"/>
      <c r="K325" s="864"/>
      <c r="L325" s="695"/>
      <c r="M325" s="1223"/>
      <c r="N325" s="809"/>
      <c r="O325" s="809"/>
    </row>
    <row r="326" spans="1:15" s="810" customFormat="1" x14ac:dyDescent="0.2">
      <c r="A326" s="825"/>
      <c r="B326" s="826"/>
      <c r="C326" s="827"/>
      <c r="D326" s="825"/>
      <c r="E326" s="828"/>
      <c r="F326" s="484"/>
      <c r="G326" s="805" t="s">
        <v>39</v>
      </c>
      <c r="H326" s="12" t="s">
        <v>40</v>
      </c>
      <c r="I326" s="133">
        <f>SUM(I323)</f>
        <v>4403400</v>
      </c>
      <c r="J326" s="133"/>
      <c r="K326" s="133">
        <f>SUM(I326+J326)</f>
        <v>4403400</v>
      </c>
      <c r="L326" s="695"/>
      <c r="M326" s="1223"/>
      <c r="N326" s="809"/>
      <c r="O326" s="809"/>
    </row>
    <row r="327" spans="1:15" s="810" customFormat="1" x14ac:dyDescent="0.2">
      <c r="A327" s="848"/>
      <c r="B327" s="849"/>
      <c r="C327" s="850"/>
      <c r="D327" s="848"/>
      <c r="E327" s="502"/>
      <c r="F327" s="503"/>
      <c r="G327" s="861"/>
      <c r="H327" s="862" t="s">
        <v>401</v>
      </c>
      <c r="I327" s="173">
        <f>SUM(I326)</f>
        <v>4403400</v>
      </c>
      <c r="J327" s="173"/>
      <c r="K327" s="173">
        <f t="shared" ref="K327" si="17">SUM(K326)</f>
        <v>4403400</v>
      </c>
      <c r="L327" s="695"/>
      <c r="M327" s="1223"/>
      <c r="N327" s="809"/>
      <c r="O327" s="809"/>
    </row>
    <row r="328" spans="1:15" s="810" customFormat="1" x14ac:dyDescent="0.2">
      <c r="A328" s="825"/>
      <c r="B328" s="826"/>
      <c r="C328" s="827"/>
      <c r="D328" s="825"/>
      <c r="E328" s="828"/>
      <c r="F328" s="484"/>
      <c r="G328" s="805"/>
      <c r="H328" s="847"/>
      <c r="I328" s="863"/>
      <c r="J328" s="863"/>
      <c r="K328" s="864"/>
      <c r="L328" s="695"/>
      <c r="M328" s="1223"/>
      <c r="N328" s="809"/>
      <c r="O328" s="809"/>
    </row>
    <row r="329" spans="1:15" s="810" customFormat="1" x14ac:dyDescent="0.2">
      <c r="A329" s="799" t="s">
        <v>57</v>
      </c>
      <c r="B329" s="800"/>
      <c r="C329" s="801"/>
      <c r="D329" s="802"/>
      <c r="E329" s="803"/>
      <c r="F329" s="804"/>
      <c r="G329" s="805"/>
      <c r="H329" s="806" t="s">
        <v>959</v>
      </c>
      <c r="I329" s="807"/>
      <c r="J329" s="807"/>
      <c r="K329" s="808"/>
      <c r="L329" s="695"/>
      <c r="M329" s="1223"/>
      <c r="N329" s="809"/>
      <c r="O329" s="809"/>
    </row>
    <row r="330" spans="1:15" s="810" customFormat="1" x14ac:dyDescent="0.2">
      <c r="A330" s="811"/>
      <c r="B330" s="812"/>
      <c r="C330" s="813"/>
      <c r="D330" s="493" t="s">
        <v>534</v>
      </c>
      <c r="E330" s="814"/>
      <c r="F330" s="494"/>
      <c r="G330" s="815"/>
      <c r="H330" s="816" t="s">
        <v>533</v>
      </c>
      <c r="I330" s="817">
        <f>SUM(I352)</f>
        <v>48076100</v>
      </c>
      <c r="J330" s="817"/>
      <c r="K330" s="818">
        <f>SUM(K352)</f>
        <v>48076100</v>
      </c>
      <c r="L330" s="819"/>
      <c r="M330" s="1223"/>
      <c r="N330" s="809"/>
      <c r="O330" s="809"/>
    </row>
    <row r="331" spans="1:15" s="810" customFormat="1" x14ac:dyDescent="0.2">
      <c r="A331" s="811"/>
      <c r="B331" s="812"/>
      <c r="C331" s="813"/>
      <c r="D331" s="493"/>
      <c r="E331" s="814"/>
      <c r="F331" s="494"/>
      <c r="G331" s="815"/>
      <c r="H331" s="495"/>
      <c r="I331" s="865"/>
      <c r="J331" s="865"/>
      <c r="K331" s="866"/>
      <c r="L331" s="819"/>
      <c r="M331" s="1223"/>
      <c r="N331" s="809"/>
      <c r="O331" s="809"/>
    </row>
    <row r="332" spans="1:15" s="810" customFormat="1" x14ac:dyDescent="0.2">
      <c r="A332" s="825"/>
      <c r="B332" s="826"/>
      <c r="C332" s="827"/>
      <c r="D332" s="825"/>
      <c r="E332" s="828"/>
      <c r="F332" s="484"/>
      <c r="G332" s="805"/>
      <c r="H332" s="485" t="s">
        <v>294</v>
      </c>
      <c r="I332" s="829"/>
      <c r="J332" s="829"/>
      <c r="K332" s="830"/>
      <c r="L332" s="695"/>
      <c r="M332" s="1223"/>
      <c r="N332" s="809"/>
      <c r="O332" s="809"/>
    </row>
    <row r="333" spans="1:15" s="537" customFormat="1" ht="19.5" customHeight="1" x14ac:dyDescent="0.2">
      <c r="A333" s="825"/>
      <c r="B333" s="826"/>
      <c r="C333" s="827"/>
      <c r="D333" s="831"/>
      <c r="E333" s="483" t="s">
        <v>536</v>
      </c>
      <c r="F333" s="484"/>
      <c r="G333" s="832"/>
      <c r="H333" s="489" t="s">
        <v>537</v>
      </c>
      <c r="I333" s="833"/>
      <c r="J333" s="833"/>
      <c r="K333" s="492"/>
      <c r="L333" s="695"/>
      <c r="M333" s="1223"/>
      <c r="N333" s="834"/>
      <c r="O333" s="834"/>
    </row>
    <row r="334" spans="1:15" s="839" customFormat="1" x14ac:dyDescent="0.2">
      <c r="A334" s="835"/>
      <c r="B334" s="836"/>
      <c r="C334" s="827"/>
      <c r="D334" s="835"/>
      <c r="E334" s="828"/>
      <c r="F334" s="484"/>
      <c r="G334" s="832"/>
      <c r="H334" s="837"/>
      <c r="I334" s="832"/>
      <c r="J334" s="832"/>
      <c r="K334" s="836"/>
      <c r="L334" s="695"/>
      <c r="M334" s="1224"/>
      <c r="N334" s="838"/>
      <c r="O334" s="838"/>
    </row>
    <row r="335" spans="1:15" s="839" customFormat="1" ht="22.5" x14ac:dyDescent="0.2">
      <c r="A335" s="825"/>
      <c r="B335" s="826"/>
      <c r="C335" s="826">
        <v>110</v>
      </c>
      <c r="D335" s="825"/>
      <c r="E335" s="828"/>
      <c r="F335" s="484"/>
      <c r="G335" s="805"/>
      <c r="H335" s="840" t="s">
        <v>370</v>
      </c>
      <c r="I335" s="841"/>
      <c r="J335" s="841"/>
      <c r="K335" s="842"/>
      <c r="L335" s="695"/>
      <c r="M335" s="1224"/>
      <c r="N335" s="838"/>
      <c r="O335" s="838"/>
    </row>
    <row r="336" spans="1:15" s="810" customFormat="1" x14ac:dyDescent="0.2">
      <c r="A336" s="825"/>
      <c r="B336" s="826"/>
      <c r="C336" s="826"/>
      <c r="D336" s="845"/>
      <c r="E336" s="483"/>
      <c r="F336" s="484"/>
      <c r="G336" s="846"/>
      <c r="H336" s="847"/>
      <c r="I336" s="807"/>
      <c r="J336" s="807"/>
      <c r="K336" s="808"/>
      <c r="L336" s="695"/>
      <c r="M336" s="1223"/>
      <c r="N336" s="809"/>
      <c r="O336" s="809"/>
    </row>
    <row r="337" spans="1:15" s="810" customFormat="1" x14ac:dyDescent="0.2">
      <c r="A337" s="825"/>
      <c r="B337" s="826"/>
      <c r="C337" s="827"/>
      <c r="D337" s="825"/>
      <c r="E337" s="828"/>
      <c r="F337" s="499">
        <v>28</v>
      </c>
      <c r="G337" s="500">
        <v>411</v>
      </c>
      <c r="H337" s="12" t="s">
        <v>2</v>
      </c>
      <c r="I337" s="133">
        <v>5301951</v>
      </c>
      <c r="J337" s="133"/>
      <c r="K337" s="133">
        <f t="shared" ref="K337:K348" si="18">SUM(I337+J337)</f>
        <v>5301951</v>
      </c>
      <c r="L337" s="695"/>
      <c r="M337" s="1223"/>
      <c r="N337" s="809"/>
      <c r="O337" s="809"/>
    </row>
    <row r="338" spans="1:15" s="810" customFormat="1" x14ac:dyDescent="0.2">
      <c r="A338" s="825"/>
      <c r="B338" s="826"/>
      <c r="C338" s="827"/>
      <c r="D338" s="825"/>
      <c r="E338" s="828"/>
      <c r="F338" s="499">
        <v>29</v>
      </c>
      <c r="G338" s="500">
        <v>412</v>
      </c>
      <c r="H338" s="855" t="s">
        <v>3</v>
      </c>
      <c r="I338" s="133">
        <v>949049</v>
      </c>
      <c r="J338" s="133"/>
      <c r="K338" s="133">
        <f t="shared" si="18"/>
        <v>949049</v>
      </c>
      <c r="L338" s="695"/>
      <c r="M338" s="1223"/>
      <c r="N338" s="809"/>
      <c r="O338" s="809"/>
    </row>
    <row r="339" spans="1:15" s="810" customFormat="1" x14ac:dyDescent="0.2">
      <c r="A339" s="825"/>
      <c r="B339" s="826"/>
      <c r="C339" s="827"/>
      <c r="D339" s="825"/>
      <c r="E339" s="828"/>
      <c r="F339" s="499">
        <v>30</v>
      </c>
      <c r="G339" s="500">
        <v>413</v>
      </c>
      <c r="H339" s="855" t="s">
        <v>34</v>
      </c>
      <c r="I339" s="133">
        <v>50000</v>
      </c>
      <c r="J339" s="133"/>
      <c r="K339" s="133">
        <f t="shared" si="18"/>
        <v>50000</v>
      </c>
      <c r="L339" s="695"/>
      <c r="M339" s="1223"/>
      <c r="N339" s="809"/>
      <c r="O339" s="809"/>
    </row>
    <row r="340" spans="1:15" s="810" customFormat="1" x14ac:dyDescent="0.2">
      <c r="A340" s="825"/>
      <c r="B340" s="826"/>
      <c r="C340" s="827"/>
      <c r="D340" s="825"/>
      <c r="E340" s="828"/>
      <c r="F340" s="499">
        <v>31</v>
      </c>
      <c r="G340" s="500">
        <v>414</v>
      </c>
      <c r="H340" s="12" t="s">
        <v>35</v>
      </c>
      <c r="I340" s="133">
        <v>200000</v>
      </c>
      <c r="J340" s="133"/>
      <c r="K340" s="133">
        <f t="shared" si="18"/>
        <v>200000</v>
      </c>
      <c r="L340" s="695"/>
      <c r="M340" s="1223"/>
      <c r="N340" s="809"/>
      <c r="O340" s="809"/>
    </row>
    <row r="341" spans="1:15" s="810" customFormat="1" x14ac:dyDescent="0.2">
      <c r="A341" s="825"/>
      <c r="B341" s="826"/>
      <c r="C341" s="827"/>
      <c r="D341" s="825"/>
      <c r="E341" s="828"/>
      <c r="F341" s="499">
        <v>32</v>
      </c>
      <c r="G341" s="500">
        <v>415</v>
      </c>
      <c r="H341" s="855" t="s">
        <v>5</v>
      </c>
      <c r="I341" s="133">
        <v>100000</v>
      </c>
      <c r="J341" s="133"/>
      <c r="K341" s="133">
        <f t="shared" si="18"/>
        <v>100000</v>
      </c>
      <c r="L341" s="695"/>
      <c r="M341" s="1223"/>
      <c r="N341" s="809"/>
      <c r="O341" s="809"/>
    </row>
    <row r="342" spans="1:15" s="810" customFormat="1" x14ac:dyDescent="0.2">
      <c r="A342" s="825"/>
      <c r="B342" s="826"/>
      <c r="C342" s="827"/>
      <c r="D342" s="825"/>
      <c r="E342" s="828"/>
      <c r="F342" s="499">
        <v>33</v>
      </c>
      <c r="G342" s="500">
        <v>416</v>
      </c>
      <c r="H342" s="855" t="s">
        <v>6</v>
      </c>
      <c r="I342" s="867">
        <v>8650000</v>
      </c>
      <c r="J342" s="133"/>
      <c r="K342" s="133">
        <f t="shared" si="18"/>
        <v>8650000</v>
      </c>
      <c r="L342" s="695"/>
      <c r="M342" s="1223"/>
      <c r="N342" s="809"/>
      <c r="O342" s="809"/>
    </row>
    <row r="343" spans="1:15" s="810" customFormat="1" x14ac:dyDescent="0.2">
      <c r="A343" s="825"/>
      <c r="B343" s="826"/>
      <c r="C343" s="827"/>
      <c r="D343" s="825"/>
      <c r="E343" s="828"/>
      <c r="F343" s="499">
        <v>34</v>
      </c>
      <c r="G343" s="500">
        <v>421</v>
      </c>
      <c r="H343" s="855" t="s">
        <v>7</v>
      </c>
      <c r="I343" s="1250">
        <v>200000</v>
      </c>
      <c r="J343" s="133"/>
      <c r="K343" s="133">
        <f t="shared" si="18"/>
        <v>200000</v>
      </c>
      <c r="L343" s="695"/>
      <c r="M343" s="1223"/>
      <c r="N343" s="809"/>
      <c r="O343" s="809"/>
    </row>
    <row r="344" spans="1:15" s="810" customFormat="1" x14ac:dyDescent="0.2">
      <c r="A344" s="825"/>
      <c r="B344" s="826"/>
      <c r="C344" s="827"/>
      <c r="D344" s="825"/>
      <c r="E344" s="828"/>
      <c r="F344" s="499">
        <v>35</v>
      </c>
      <c r="G344" s="500">
        <v>422</v>
      </c>
      <c r="H344" s="855" t="s">
        <v>8</v>
      </c>
      <c r="I344" s="133">
        <v>2700000</v>
      </c>
      <c r="J344" s="133"/>
      <c r="K344" s="133">
        <f t="shared" si="18"/>
        <v>2700000</v>
      </c>
      <c r="L344" s="695"/>
      <c r="M344" s="1223"/>
      <c r="N344" s="809"/>
      <c r="O344" s="809"/>
    </row>
    <row r="345" spans="1:15" s="810" customFormat="1" x14ac:dyDescent="0.2">
      <c r="A345" s="825"/>
      <c r="B345" s="826"/>
      <c r="C345" s="827"/>
      <c r="D345" s="825"/>
      <c r="E345" s="828"/>
      <c r="F345" s="499">
        <v>36</v>
      </c>
      <c r="G345" s="500">
        <v>423</v>
      </c>
      <c r="H345" s="12" t="s">
        <v>9</v>
      </c>
      <c r="I345" s="133">
        <v>26300000</v>
      </c>
      <c r="J345" s="133"/>
      <c r="K345" s="133">
        <f t="shared" si="18"/>
        <v>26300000</v>
      </c>
      <c r="L345" s="695"/>
      <c r="M345" s="1223"/>
      <c r="N345" s="809"/>
      <c r="O345" s="809"/>
    </row>
    <row r="346" spans="1:15" s="810" customFormat="1" x14ac:dyDescent="0.2">
      <c r="A346" s="825"/>
      <c r="B346" s="826"/>
      <c r="C346" s="827"/>
      <c r="D346" s="825"/>
      <c r="E346" s="828"/>
      <c r="F346" s="499">
        <v>37</v>
      </c>
      <c r="G346" s="500">
        <v>424</v>
      </c>
      <c r="H346" s="12" t="s">
        <v>10</v>
      </c>
      <c r="I346" s="1250">
        <v>1500000</v>
      </c>
      <c r="J346" s="133"/>
      <c r="K346" s="133">
        <f t="shared" si="18"/>
        <v>1500000</v>
      </c>
      <c r="L346" s="695"/>
      <c r="M346" s="1223"/>
      <c r="N346" s="809"/>
      <c r="O346" s="809"/>
    </row>
    <row r="347" spans="1:15" s="810" customFormat="1" x14ac:dyDescent="0.2">
      <c r="A347" s="825"/>
      <c r="B347" s="826"/>
      <c r="C347" s="827"/>
      <c r="D347" s="825"/>
      <c r="E347" s="828"/>
      <c r="F347" s="499">
        <v>38</v>
      </c>
      <c r="G347" s="500">
        <v>426</v>
      </c>
      <c r="H347" s="12" t="s">
        <v>36</v>
      </c>
      <c r="I347" s="133">
        <v>1500000</v>
      </c>
      <c r="J347" s="133"/>
      <c r="K347" s="133">
        <f t="shared" si="18"/>
        <v>1500000</v>
      </c>
      <c r="L347" s="695"/>
      <c r="M347" s="1223"/>
      <c r="N347" s="809"/>
      <c r="O347" s="809"/>
    </row>
    <row r="348" spans="1:15" s="810" customFormat="1" x14ac:dyDescent="0.2">
      <c r="A348" s="825"/>
      <c r="B348" s="826"/>
      <c r="C348" s="827"/>
      <c r="D348" s="825"/>
      <c r="E348" s="828"/>
      <c r="F348" s="499">
        <v>39</v>
      </c>
      <c r="G348" s="500">
        <v>465</v>
      </c>
      <c r="H348" s="12" t="s">
        <v>218</v>
      </c>
      <c r="I348" s="133">
        <v>625100</v>
      </c>
      <c r="J348" s="133"/>
      <c r="K348" s="133">
        <f t="shared" si="18"/>
        <v>625100</v>
      </c>
      <c r="L348" s="695"/>
      <c r="M348" s="1223"/>
      <c r="N348" s="809"/>
      <c r="O348" s="809"/>
    </row>
    <row r="349" spans="1:15" s="810" customFormat="1" x14ac:dyDescent="0.2">
      <c r="A349" s="825"/>
      <c r="B349" s="849"/>
      <c r="C349" s="850"/>
      <c r="D349" s="848"/>
      <c r="E349" s="502"/>
      <c r="F349" s="503"/>
      <c r="G349" s="503"/>
      <c r="H349" s="856" t="s">
        <v>790</v>
      </c>
      <c r="I349" s="243">
        <f>SUM(I337:I348)</f>
        <v>48076100</v>
      </c>
      <c r="J349" s="243"/>
      <c r="K349" s="857">
        <f t="shared" ref="K349" si="19">SUM(K337:K348)</f>
        <v>48076100</v>
      </c>
      <c r="L349" s="695"/>
      <c r="M349" s="1223"/>
      <c r="N349" s="809"/>
      <c r="O349" s="809"/>
    </row>
    <row r="350" spans="1:15" s="810" customFormat="1" x14ac:dyDescent="0.2">
      <c r="A350" s="851"/>
      <c r="B350" s="826"/>
      <c r="C350" s="827"/>
      <c r="D350" s="825"/>
      <c r="E350" s="828"/>
      <c r="F350" s="484"/>
      <c r="G350" s="484"/>
      <c r="H350" s="858" t="s">
        <v>38</v>
      </c>
      <c r="I350" s="859"/>
      <c r="J350" s="859"/>
      <c r="K350" s="860"/>
      <c r="L350" s="695"/>
      <c r="M350" s="1223"/>
      <c r="N350" s="809"/>
      <c r="O350" s="809"/>
    </row>
    <row r="351" spans="1:15" s="810" customFormat="1" x14ac:dyDescent="0.2">
      <c r="A351" s="825"/>
      <c r="B351" s="826"/>
      <c r="C351" s="827"/>
      <c r="D351" s="825"/>
      <c r="E351" s="828"/>
      <c r="F351" s="484"/>
      <c r="G351" s="805" t="s">
        <v>39</v>
      </c>
      <c r="H351" s="12" t="s">
        <v>40</v>
      </c>
      <c r="I351" s="133">
        <f>SUM(I349)</f>
        <v>48076100</v>
      </c>
      <c r="J351" s="133"/>
      <c r="K351" s="133">
        <f>SUM(I351+J351)</f>
        <v>48076100</v>
      </c>
      <c r="L351" s="695"/>
      <c r="M351" s="1223"/>
      <c r="N351" s="809"/>
      <c r="O351" s="809"/>
    </row>
    <row r="352" spans="1:15" s="810" customFormat="1" x14ac:dyDescent="0.2">
      <c r="A352" s="848"/>
      <c r="B352" s="849"/>
      <c r="C352" s="850"/>
      <c r="D352" s="848"/>
      <c r="E352" s="502"/>
      <c r="F352" s="503"/>
      <c r="G352" s="861"/>
      <c r="H352" s="862" t="s">
        <v>41</v>
      </c>
      <c r="I352" s="173">
        <f>SUM(I351)</f>
        <v>48076100</v>
      </c>
      <c r="J352" s="173"/>
      <c r="K352" s="173">
        <f t="shared" ref="K352" si="20">SUM(K351)</f>
        <v>48076100</v>
      </c>
      <c r="L352" s="695"/>
      <c r="M352" s="1223"/>
      <c r="N352" s="809"/>
      <c r="O352" s="809"/>
    </row>
    <row r="353" spans="1:15" s="810" customFormat="1" x14ac:dyDescent="0.2">
      <c r="A353" s="825"/>
      <c r="B353" s="826"/>
      <c r="C353" s="827"/>
      <c r="D353" s="825"/>
      <c r="E353" s="828"/>
      <c r="F353" s="484"/>
      <c r="G353" s="805"/>
      <c r="H353" s="847"/>
      <c r="I353" s="863"/>
      <c r="J353" s="863"/>
      <c r="K353" s="864"/>
      <c r="L353" s="695"/>
      <c r="M353" s="1223"/>
      <c r="N353" s="809"/>
      <c r="O353" s="809"/>
    </row>
    <row r="354" spans="1:15" s="810" customFormat="1" x14ac:dyDescent="0.2">
      <c r="A354" s="868"/>
      <c r="B354" s="869"/>
      <c r="C354" s="870"/>
      <c r="D354" s="871" t="s">
        <v>296</v>
      </c>
      <c r="E354" s="872"/>
      <c r="F354" s="873"/>
      <c r="G354" s="874"/>
      <c r="H354" s="816" t="s">
        <v>535</v>
      </c>
      <c r="I354" s="817">
        <f>SUM(I362+I370)</f>
        <v>30624198</v>
      </c>
      <c r="J354" s="817"/>
      <c r="K354" s="818">
        <f>SUM(I354+J354)</f>
        <v>30624198</v>
      </c>
      <c r="L354" s="819"/>
      <c r="M354" s="1223"/>
      <c r="N354" s="809"/>
      <c r="O354" s="809"/>
    </row>
    <row r="355" spans="1:15" s="810" customFormat="1" x14ac:dyDescent="0.2">
      <c r="A355" s="875"/>
      <c r="B355" s="876"/>
      <c r="C355" s="877"/>
      <c r="D355" s="878"/>
      <c r="E355" s="879"/>
      <c r="F355" s="880"/>
      <c r="G355" s="881"/>
      <c r="H355" s="882"/>
      <c r="I355" s="865"/>
      <c r="J355" s="865"/>
      <c r="K355" s="866"/>
      <c r="L355" s="819"/>
      <c r="M355" s="1223"/>
      <c r="N355" s="809"/>
      <c r="O355" s="809"/>
    </row>
    <row r="356" spans="1:15" s="810" customFormat="1" x14ac:dyDescent="0.2">
      <c r="A356" s="825"/>
      <c r="B356" s="826"/>
      <c r="C356" s="827"/>
      <c r="D356" s="825"/>
      <c r="E356" s="828"/>
      <c r="F356" s="484"/>
      <c r="G356" s="805"/>
      <c r="H356" s="485" t="s">
        <v>338</v>
      </c>
      <c r="I356" s="829"/>
      <c r="J356" s="829"/>
      <c r="K356" s="830"/>
      <c r="L356" s="695"/>
      <c r="M356" s="1223"/>
      <c r="N356" s="809"/>
      <c r="O356" s="809"/>
    </row>
    <row r="357" spans="1:15" s="810" customFormat="1" x14ac:dyDescent="0.2">
      <c r="A357" s="825"/>
      <c r="B357" s="826"/>
      <c r="C357" s="827"/>
      <c r="D357" s="825"/>
      <c r="E357" s="483" t="s">
        <v>538</v>
      </c>
      <c r="F357" s="484"/>
      <c r="G357" s="805"/>
      <c r="H357" s="489" t="s">
        <v>539</v>
      </c>
      <c r="I357" s="883"/>
      <c r="J357" s="883"/>
      <c r="K357" s="884"/>
      <c r="L357" s="695"/>
      <c r="M357" s="1223"/>
      <c r="N357" s="809"/>
      <c r="O357" s="809"/>
    </row>
    <row r="358" spans="1:15" s="364" customFormat="1" x14ac:dyDescent="0.2">
      <c r="A358" s="103"/>
      <c r="B358" s="113"/>
      <c r="C358" s="122"/>
      <c r="D358" s="103"/>
      <c r="E358" s="213"/>
      <c r="F358" s="46"/>
      <c r="G358" s="64"/>
      <c r="H358" s="147"/>
      <c r="I358" s="224"/>
      <c r="J358" s="224"/>
      <c r="K358" s="378"/>
      <c r="L358" s="26"/>
      <c r="M358" s="1224"/>
      <c r="N358" s="363"/>
      <c r="O358" s="363"/>
    </row>
    <row r="359" spans="1:15" s="364" customFormat="1" x14ac:dyDescent="0.2">
      <c r="A359" s="103"/>
      <c r="B359" s="113"/>
      <c r="C359" s="111">
        <v>160</v>
      </c>
      <c r="D359" s="103"/>
      <c r="E359" s="128"/>
      <c r="F359" s="1"/>
      <c r="G359" s="38"/>
      <c r="H359" s="146" t="s">
        <v>369</v>
      </c>
      <c r="I359" s="453"/>
      <c r="J359" s="453"/>
      <c r="K359" s="454"/>
      <c r="L359" s="26"/>
      <c r="M359" s="1224"/>
      <c r="N359" s="363"/>
      <c r="O359" s="363"/>
    </row>
    <row r="360" spans="1:15" x14ac:dyDescent="0.2">
      <c r="A360" s="103"/>
      <c r="B360" s="113"/>
      <c r="C360" s="122"/>
      <c r="D360" s="103"/>
      <c r="E360" s="176"/>
      <c r="F360" s="1"/>
      <c r="G360" s="40"/>
      <c r="H360" s="50"/>
      <c r="I360" s="47"/>
      <c r="J360" s="47"/>
      <c r="K360" s="199"/>
    </row>
    <row r="361" spans="1:15" x14ac:dyDescent="0.2">
      <c r="A361" s="103"/>
      <c r="B361" s="113"/>
      <c r="C361" s="122"/>
      <c r="D361" s="106"/>
      <c r="E361" s="176"/>
      <c r="F361" s="124">
        <v>40</v>
      </c>
      <c r="G361" s="95">
        <v>499</v>
      </c>
      <c r="H361" s="89" t="s">
        <v>1143</v>
      </c>
      <c r="I361" s="1275">
        <v>28824198</v>
      </c>
      <c r="J361" s="160"/>
      <c r="K361" s="160">
        <f>SUM(I361+J361)</f>
        <v>28824198</v>
      </c>
    </row>
    <row r="362" spans="1:15" x14ac:dyDescent="0.2">
      <c r="A362" s="103"/>
      <c r="B362" s="113"/>
      <c r="C362" s="122"/>
      <c r="D362" s="106"/>
      <c r="E362" s="176"/>
      <c r="F362" s="1"/>
      <c r="G362" s="40"/>
      <c r="H362" s="142" t="s">
        <v>752</v>
      </c>
      <c r="I362" s="210">
        <f>SUM(I360:I361)</f>
        <v>28824198</v>
      </c>
      <c r="J362" s="210"/>
      <c r="K362" s="211">
        <f t="shared" ref="K362" si="21">SUM(K360:K361)</f>
        <v>28824198</v>
      </c>
    </row>
    <row r="363" spans="1:15" x14ac:dyDescent="0.2">
      <c r="A363" s="369"/>
      <c r="B363" s="118"/>
      <c r="C363" s="209"/>
      <c r="D363" s="369"/>
      <c r="E363" s="246"/>
      <c r="F363" s="41"/>
      <c r="G363" s="45" t="s">
        <v>39</v>
      </c>
      <c r="H363" s="90" t="s">
        <v>40</v>
      </c>
      <c r="I363" s="160">
        <f>SUM(I362)</f>
        <v>28824198</v>
      </c>
      <c r="J363" s="160"/>
      <c r="K363" s="160">
        <f>SUM(I363+J363)</f>
        <v>28824198</v>
      </c>
    </row>
    <row r="364" spans="1:15" x14ac:dyDescent="0.2">
      <c r="A364" s="104"/>
      <c r="B364" s="114"/>
      <c r="C364" s="123"/>
      <c r="D364" s="104"/>
      <c r="E364" s="177"/>
      <c r="F364" s="42"/>
      <c r="G364" s="43"/>
      <c r="H364" s="97" t="s">
        <v>361</v>
      </c>
      <c r="I364" s="162">
        <f>SUM(I363)</f>
        <v>28824198</v>
      </c>
      <c r="J364" s="162"/>
      <c r="K364" s="162">
        <f>SUM(K363)</f>
        <v>28824198</v>
      </c>
    </row>
    <row r="365" spans="1:15" x14ac:dyDescent="0.2">
      <c r="A365" s="103"/>
      <c r="B365" s="113"/>
      <c r="C365" s="122"/>
      <c r="D365" s="106"/>
      <c r="E365" s="250"/>
      <c r="F365" s="46"/>
      <c r="G365" s="219"/>
      <c r="H365" s="347"/>
      <c r="I365" s="226"/>
      <c r="J365" s="226"/>
      <c r="K365" s="379"/>
    </row>
    <row r="366" spans="1:15" s="642" customFormat="1" ht="15" x14ac:dyDescent="0.2">
      <c r="A366" s="98"/>
      <c r="B366" s="111"/>
      <c r="C366" s="119"/>
      <c r="D366" s="99"/>
      <c r="E366" s="176"/>
      <c r="F366" s="1"/>
      <c r="G366" s="38"/>
      <c r="H366" s="136" t="s">
        <v>335</v>
      </c>
      <c r="I366" s="139"/>
      <c r="J366" s="139"/>
      <c r="K366" s="140"/>
      <c r="L366" s="27"/>
      <c r="M366" s="1223"/>
      <c r="N366" s="885"/>
      <c r="O366" s="61"/>
    </row>
    <row r="367" spans="1:15" s="642" customFormat="1" x14ac:dyDescent="0.2">
      <c r="A367" s="98"/>
      <c r="B367" s="111"/>
      <c r="C367" s="111"/>
      <c r="D367" s="99"/>
      <c r="E367" s="128" t="s">
        <v>325</v>
      </c>
      <c r="F367" s="1"/>
      <c r="G367" s="40"/>
      <c r="H367" s="137" t="s">
        <v>540</v>
      </c>
      <c r="I367" s="141"/>
      <c r="J367" s="141"/>
      <c r="K367" s="793"/>
      <c r="L367" s="27"/>
      <c r="M367" s="1223"/>
      <c r="N367" s="61"/>
      <c r="O367" s="61"/>
    </row>
    <row r="368" spans="1:15" s="642" customFormat="1" x14ac:dyDescent="0.2">
      <c r="A368" s="99"/>
      <c r="B368" s="111"/>
      <c r="C368" s="119"/>
      <c r="D368" s="99"/>
      <c r="E368" s="176"/>
      <c r="F368" s="1"/>
      <c r="G368" s="1"/>
      <c r="H368" s="50"/>
      <c r="I368" s="886"/>
      <c r="J368" s="48"/>
      <c r="K368" s="205"/>
      <c r="L368" s="27"/>
      <c r="M368" s="1223"/>
      <c r="N368" s="61"/>
      <c r="O368" s="61"/>
    </row>
    <row r="369" spans="1:15" s="642" customFormat="1" x14ac:dyDescent="0.2">
      <c r="A369" s="99"/>
      <c r="B369" s="111"/>
      <c r="C369" s="119"/>
      <c r="D369" s="99"/>
      <c r="E369" s="176"/>
      <c r="F369" s="124">
        <v>41</v>
      </c>
      <c r="G369" s="95">
        <v>499</v>
      </c>
      <c r="H369" s="89" t="s">
        <v>540</v>
      </c>
      <c r="I369" s="160">
        <v>1800000</v>
      </c>
      <c r="J369" s="160"/>
      <c r="K369" s="160">
        <f>SUM(I369+J369)</f>
        <v>1800000</v>
      </c>
      <c r="L369" s="27"/>
      <c r="M369" s="1223"/>
      <c r="N369" s="61"/>
      <c r="O369" s="61"/>
    </row>
    <row r="370" spans="1:15" s="642" customFormat="1" x14ac:dyDescent="0.2">
      <c r="A370" s="99"/>
      <c r="B370" s="781"/>
      <c r="C370" s="121"/>
      <c r="D370" s="101"/>
      <c r="E370" s="177"/>
      <c r="F370" s="42"/>
      <c r="G370" s="42"/>
      <c r="H370" s="142" t="s">
        <v>753</v>
      </c>
      <c r="I370" s="210">
        <f>SUM(I368:I369)</f>
        <v>1800000</v>
      </c>
      <c r="J370" s="210"/>
      <c r="K370" s="211">
        <f t="shared" ref="K370" si="22">SUM(K368:K369)</f>
        <v>1800000</v>
      </c>
      <c r="L370" s="27"/>
      <c r="M370" s="1223"/>
      <c r="N370" s="61"/>
      <c r="O370" s="61"/>
    </row>
    <row r="371" spans="1:15" s="642" customFormat="1" x14ac:dyDescent="0.2">
      <c r="A371" s="100"/>
      <c r="B371" s="111"/>
      <c r="C371" s="119"/>
      <c r="D371" s="99"/>
      <c r="E371" s="176"/>
      <c r="F371" s="1"/>
      <c r="G371" s="38" t="s">
        <v>39</v>
      </c>
      <c r="H371" s="90" t="s">
        <v>40</v>
      </c>
      <c r="I371" s="160">
        <f>SUM(I370)</f>
        <v>1800000</v>
      </c>
      <c r="J371" s="160"/>
      <c r="K371" s="160">
        <f>SUM(I371+J371)</f>
        <v>1800000</v>
      </c>
      <c r="L371" s="27"/>
      <c r="M371" s="1223"/>
      <c r="N371" s="61"/>
      <c r="O371" s="61"/>
    </row>
    <row r="372" spans="1:15" s="642" customFormat="1" x14ac:dyDescent="0.2">
      <c r="A372" s="101"/>
      <c r="B372" s="781"/>
      <c r="C372" s="121"/>
      <c r="D372" s="101"/>
      <c r="E372" s="177"/>
      <c r="F372" s="42"/>
      <c r="G372" s="43"/>
      <c r="H372" s="97" t="s">
        <v>361</v>
      </c>
      <c r="I372" s="162">
        <f>SUM(I371)</f>
        <v>1800000</v>
      </c>
      <c r="J372" s="162"/>
      <c r="K372" s="162">
        <f>SUM(K371)</f>
        <v>1800000</v>
      </c>
      <c r="L372" s="27"/>
      <c r="M372" s="1223"/>
      <c r="N372" s="61"/>
      <c r="O372" s="61"/>
    </row>
    <row r="373" spans="1:15" x14ac:dyDescent="0.2">
      <c r="A373" s="103"/>
      <c r="B373" s="113"/>
      <c r="C373" s="122"/>
      <c r="D373" s="103"/>
      <c r="E373" s="250"/>
      <c r="F373" s="46"/>
      <c r="G373" s="46"/>
      <c r="H373" s="279"/>
      <c r="I373" s="226"/>
      <c r="J373" s="226"/>
      <c r="K373" s="379"/>
    </row>
    <row r="374" spans="1:15" s="642" customFormat="1" x14ac:dyDescent="0.2">
      <c r="A374" s="788"/>
      <c r="B374" s="789"/>
      <c r="C374" s="790"/>
      <c r="D374" s="148" t="s">
        <v>300</v>
      </c>
      <c r="E374" s="767"/>
      <c r="F374" s="134"/>
      <c r="G374" s="135"/>
      <c r="H374" s="220" t="s">
        <v>542</v>
      </c>
      <c r="I374" s="221">
        <f>SUM(I384+I400+I390)</f>
        <v>18500000</v>
      </c>
      <c r="J374" s="221"/>
      <c r="K374" s="222">
        <f>SUM(I374:J374)</f>
        <v>18500000</v>
      </c>
      <c r="L374" s="887"/>
      <c r="M374" s="1223"/>
      <c r="N374" s="61"/>
      <c r="O374" s="61"/>
    </row>
    <row r="375" spans="1:15" s="642" customFormat="1" x14ac:dyDescent="0.2">
      <c r="A375" s="788"/>
      <c r="B375" s="789"/>
      <c r="C375" s="790"/>
      <c r="D375" s="148"/>
      <c r="E375" s="767"/>
      <c r="F375" s="134"/>
      <c r="G375" s="135"/>
      <c r="H375" s="144"/>
      <c r="I375" s="791"/>
      <c r="J375" s="791"/>
      <c r="K375" s="792"/>
      <c r="L375" s="887"/>
      <c r="M375" s="1223"/>
      <c r="N375" s="61"/>
      <c r="O375" s="61"/>
    </row>
    <row r="376" spans="1:15" s="642" customFormat="1" x14ac:dyDescent="0.2">
      <c r="A376" s="99"/>
      <c r="B376" s="111"/>
      <c r="C376" s="888"/>
      <c r="D376" s="99"/>
      <c r="E376" s="176"/>
      <c r="F376" s="1"/>
      <c r="G376" s="38"/>
      <c r="H376" s="136" t="s">
        <v>334</v>
      </c>
      <c r="I376" s="180"/>
      <c r="J376" s="180"/>
      <c r="K376" s="889"/>
      <c r="L376" s="27"/>
      <c r="M376" s="1223"/>
      <c r="N376" s="61"/>
      <c r="O376" s="61"/>
    </row>
    <row r="377" spans="1:15" s="642" customFormat="1" x14ac:dyDescent="0.2">
      <c r="A377" s="99"/>
      <c r="B377" s="111"/>
      <c r="C377" s="119"/>
      <c r="D377" s="98"/>
      <c r="E377" s="128" t="s">
        <v>301</v>
      </c>
      <c r="F377" s="1"/>
      <c r="G377" s="40"/>
      <c r="H377" s="137" t="s">
        <v>808</v>
      </c>
      <c r="I377" s="141"/>
      <c r="J377" s="141"/>
      <c r="K377" s="793"/>
      <c r="L377" s="27"/>
      <c r="M377" s="1223"/>
      <c r="N377" s="61"/>
      <c r="O377" s="61"/>
    </row>
    <row r="378" spans="1:15" s="893" customFormat="1" x14ac:dyDescent="0.2">
      <c r="A378" s="102"/>
      <c r="B378" s="890"/>
      <c r="C378" s="116"/>
      <c r="D378" s="125"/>
      <c r="E378" s="126"/>
      <c r="F378" s="37"/>
      <c r="G378" s="28"/>
      <c r="H378" s="29"/>
      <c r="I378" s="62"/>
      <c r="J378" s="62"/>
      <c r="K378" s="288"/>
      <c r="L378" s="891"/>
      <c r="M378" s="1224"/>
      <c r="N378" s="892"/>
      <c r="O378" s="892"/>
    </row>
    <row r="379" spans="1:15" s="893" customFormat="1" x14ac:dyDescent="0.2">
      <c r="A379" s="99"/>
      <c r="B379" s="890"/>
      <c r="C379" s="111">
        <v>160</v>
      </c>
      <c r="D379" s="126"/>
      <c r="E379" s="248"/>
      <c r="F379" s="37"/>
      <c r="G379" s="30"/>
      <c r="H379" s="138" t="s">
        <v>369</v>
      </c>
      <c r="I379" s="287"/>
      <c r="J379" s="287"/>
      <c r="K379" s="894"/>
      <c r="L379" s="891"/>
      <c r="M379" s="1224"/>
      <c r="N379" s="892"/>
      <c r="O379" s="892"/>
    </row>
    <row r="380" spans="1:15" s="642" customFormat="1" x14ac:dyDescent="0.2">
      <c r="A380" s="99"/>
      <c r="B380" s="890"/>
      <c r="C380" s="111"/>
      <c r="D380" s="126"/>
      <c r="E380" s="248"/>
      <c r="F380" s="37"/>
      <c r="G380" s="30"/>
      <c r="H380" s="44"/>
      <c r="I380" s="62"/>
      <c r="J380" s="62"/>
      <c r="K380" s="288"/>
      <c r="L380" s="891"/>
      <c r="M380" s="1223"/>
      <c r="N380" s="61"/>
      <c r="O380" s="61"/>
    </row>
    <row r="381" spans="1:15" s="642" customFormat="1" x14ac:dyDescent="0.2">
      <c r="A381" s="99"/>
      <c r="B381" s="111"/>
      <c r="C381" s="119"/>
      <c r="D381" s="94"/>
      <c r="E381" s="176"/>
      <c r="F381" s="124">
        <v>42</v>
      </c>
      <c r="G381" s="95">
        <v>481</v>
      </c>
      <c r="H381" s="89" t="s">
        <v>391</v>
      </c>
      <c r="I381" s="241">
        <v>14000000</v>
      </c>
      <c r="J381" s="160"/>
      <c r="K381" s="160">
        <f>SUM(I381+J381)</f>
        <v>14000000</v>
      </c>
      <c r="L381" s="27"/>
      <c r="M381" s="1223"/>
      <c r="N381" s="61"/>
      <c r="O381" s="61"/>
    </row>
    <row r="382" spans="1:15" s="896" customFormat="1" x14ac:dyDescent="0.2">
      <c r="A382" s="99"/>
      <c r="B382" s="781"/>
      <c r="C382" s="121"/>
      <c r="D382" s="583"/>
      <c r="E382" s="177"/>
      <c r="F382" s="42"/>
      <c r="G382" s="42"/>
      <c r="H382" s="97" t="s">
        <v>776</v>
      </c>
      <c r="I382" s="192">
        <f>SUM(I381)</f>
        <v>14000000</v>
      </c>
      <c r="J382" s="192"/>
      <c r="K382" s="192">
        <f>SUM(K381)</f>
        <v>14000000</v>
      </c>
      <c r="L382" s="27"/>
      <c r="M382" s="1225"/>
      <c r="N382" s="895"/>
      <c r="O382" s="895"/>
    </row>
    <row r="383" spans="1:15" s="896" customFormat="1" x14ac:dyDescent="0.2">
      <c r="A383" s="100"/>
      <c r="B383" s="111"/>
      <c r="C383" s="119"/>
      <c r="D383" s="99"/>
      <c r="E383" s="176"/>
      <c r="F383" s="1"/>
      <c r="G383" s="38" t="s">
        <v>39</v>
      </c>
      <c r="H383" s="90" t="s">
        <v>40</v>
      </c>
      <c r="I383" s="160">
        <f>SUM(I384)</f>
        <v>14000000</v>
      </c>
      <c r="J383" s="160"/>
      <c r="K383" s="160">
        <f>SUM(I383+J383)</f>
        <v>14000000</v>
      </c>
      <c r="L383" s="27"/>
      <c r="M383" s="1225"/>
      <c r="N383" s="895"/>
      <c r="O383" s="895"/>
    </row>
    <row r="384" spans="1:15" s="896" customFormat="1" x14ac:dyDescent="0.2">
      <c r="A384" s="101"/>
      <c r="B384" s="781"/>
      <c r="C384" s="121"/>
      <c r="D384" s="101"/>
      <c r="E384" s="177"/>
      <c r="F384" s="42"/>
      <c r="G384" s="43"/>
      <c r="H384" s="97" t="s">
        <v>361</v>
      </c>
      <c r="I384" s="162">
        <f>SUM(I382)</f>
        <v>14000000</v>
      </c>
      <c r="J384" s="162"/>
      <c r="K384" s="162">
        <f>SUM(I384+J384)</f>
        <v>14000000</v>
      </c>
      <c r="L384" s="27"/>
      <c r="M384" s="1225"/>
      <c r="N384" s="895"/>
      <c r="O384" s="895"/>
    </row>
    <row r="385" spans="1:15" x14ac:dyDescent="0.2">
      <c r="A385" s="103"/>
      <c r="B385" s="113"/>
      <c r="C385" s="122"/>
      <c r="D385" s="103"/>
      <c r="E385" s="250"/>
      <c r="F385" s="46"/>
      <c r="G385" s="67"/>
      <c r="H385" s="70"/>
      <c r="I385" s="229"/>
      <c r="J385" s="229"/>
      <c r="K385" s="384"/>
    </row>
    <row r="386" spans="1:15" s="642" customFormat="1" x14ac:dyDescent="0.2">
      <c r="A386" s="99"/>
      <c r="B386" s="111"/>
      <c r="C386" s="119"/>
      <c r="D386" s="99"/>
      <c r="E386" s="176"/>
      <c r="F386" s="1"/>
      <c r="G386" s="1"/>
      <c r="H386" s="897" t="s">
        <v>848</v>
      </c>
      <c r="I386" s="156"/>
      <c r="J386" s="156"/>
      <c r="K386" s="157"/>
      <c r="L386" s="27"/>
      <c r="M386" s="1223"/>
      <c r="N386" s="61"/>
      <c r="O386" s="61"/>
    </row>
    <row r="387" spans="1:15" s="642" customFormat="1" x14ac:dyDescent="0.2">
      <c r="A387" s="99"/>
      <c r="B387" s="111"/>
      <c r="C387" s="119"/>
      <c r="D387" s="99"/>
      <c r="E387" s="176"/>
      <c r="F387" s="124">
        <v>43</v>
      </c>
      <c r="G387" s="95">
        <v>472</v>
      </c>
      <c r="H387" s="90" t="s">
        <v>220</v>
      </c>
      <c r="I387" s="241">
        <v>1000000</v>
      </c>
      <c r="J387" s="161"/>
      <c r="K387" s="160">
        <f>SUM(I387+J387)</f>
        <v>1000000</v>
      </c>
      <c r="L387" s="27"/>
      <c r="M387" s="1223"/>
      <c r="N387" s="61"/>
      <c r="O387" s="61"/>
    </row>
    <row r="388" spans="1:15" s="642" customFormat="1" x14ac:dyDescent="0.2">
      <c r="A388" s="99"/>
      <c r="B388" s="111"/>
      <c r="C388" s="119"/>
      <c r="D388" s="99"/>
      <c r="E388" s="176"/>
      <c r="F388" s="42"/>
      <c r="G388" s="42"/>
      <c r="H388" s="153" t="s">
        <v>399</v>
      </c>
      <c r="I388" s="162">
        <f>SUM(I387)</f>
        <v>1000000</v>
      </c>
      <c r="J388" s="162"/>
      <c r="K388" s="162">
        <f t="shared" ref="K388" si="23">SUM(K387)</f>
        <v>1000000</v>
      </c>
      <c r="L388" s="27"/>
      <c r="M388" s="1223"/>
      <c r="N388" s="61"/>
      <c r="O388" s="61"/>
    </row>
    <row r="389" spans="1:15" s="642" customFormat="1" x14ac:dyDescent="0.2">
      <c r="A389" s="99"/>
      <c r="B389" s="111"/>
      <c r="C389" s="119"/>
      <c r="D389" s="99"/>
      <c r="E389" s="176"/>
      <c r="F389" s="1"/>
      <c r="G389" s="38" t="s">
        <v>39</v>
      </c>
      <c r="H389" s="90" t="s">
        <v>40</v>
      </c>
      <c r="I389" s="160">
        <f>SUM(I388)</f>
        <v>1000000</v>
      </c>
      <c r="J389" s="160"/>
      <c r="K389" s="160">
        <f>SUM(I389+J389)</f>
        <v>1000000</v>
      </c>
      <c r="L389" s="27"/>
      <c r="M389" s="1223"/>
      <c r="N389" s="61"/>
      <c r="O389" s="61"/>
    </row>
    <row r="390" spans="1:15" s="642" customFormat="1" x14ac:dyDescent="0.2">
      <c r="A390" s="99"/>
      <c r="B390" s="111"/>
      <c r="C390" s="119"/>
      <c r="D390" s="99"/>
      <c r="E390" s="176"/>
      <c r="F390" s="42"/>
      <c r="G390" s="43"/>
      <c r="H390" s="97" t="s">
        <v>361</v>
      </c>
      <c r="I390" s="162">
        <f>SUM(I389:I389)</f>
        <v>1000000</v>
      </c>
      <c r="J390" s="162"/>
      <c r="K390" s="162">
        <f>SUM(K389:K389)</f>
        <v>1000000</v>
      </c>
      <c r="L390" s="27"/>
      <c r="M390" s="1223"/>
      <c r="N390" s="61"/>
      <c r="O390" s="61"/>
    </row>
    <row r="391" spans="1:15" s="642" customFormat="1" x14ac:dyDescent="0.2">
      <c r="A391" s="99"/>
      <c r="B391" s="111"/>
      <c r="C391" s="119"/>
      <c r="D391" s="99"/>
      <c r="E391" s="176"/>
      <c r="F391" s="1"/>
      <c r="G391" s="38"/>
      <c r="H391" s="44"/>
      <c r="I391" s="47"/>
      <c r="J391" s="47"/>
      <c r="K391" s="199"/>
      <c r="L391" s="27"/>
      <c r="M391" s="1223"/>
      <c r="N391" s="61"/>
      <c r="O391" s="61"/>
    </row>
    <row r="392" spans="1:15" s="642" customFormat="1" ht="15.75" customHeight="1" x14ac:dyDescent="0.2">
      <c r="A392" s="99"/>
      <c r="B392" s="111"/>
      <c r="C392" s="888"/>
      <c r="D392" s="94"/>
      <c r="E392" s="176"/>
      <c r="F392" s="1"/>
      <c r="G392" s="38"/>
      <c r="H392" s="136" t="s">
        <v>337</v>
      </c>
      <c r="I392" s="180"/>
      <c r="J392" s="180"/>
      <c r="K392" s="889"/>
      <c r="L392" s="27"/>
      <c r="M392" s="1223"/>
      <c r="N392" s="61"/>
      <c r="O392" s="61"/>
    </row>
    <row r="393" spans="1:15" s="642" customFormat="1" ht="16.5" customHeight="1" x14ac:dyDescent="0.2">
      <c r="A393" s="99"/>
      <c r="B393" s="111"/>
      <c r="C393" s="119"/>
      <c r="D393" s="94"/>
      <c r="E393" s="128" t="s">
        <v>305</v>
      </c>
      <c r="F393" s="1"/>
      <c r="G393" s="40"/>
      <c r="H393" s="137" t="s">
        <v>541</v>
      </c>
      <c r="I393" s="141"/>
      <c r="J393" s="141"/>
      <c r="K393" s="793"/>
      <c r="L393" s="27"/>
      <c r="M393" s="1223"/>
      <c r="N393" s="61"/>
      <c r="O393" s="61"/>
    </row>
    <row r="394" spans="1:15" s="642" customFormat="1" x14ac:dyDescent="0.2">
      <c r="A394" s="102"/>
      <c r="B394" s="890"/>
      <c r="C394" s="116"/>
      <c r="D394" s="108"/>
      <c r="E394" s="126"/>
      <c r="F394" s="37"/>
      <c r="G394" s="28"/>
      <c r="H394" s="29"/>
      <c r="I394" s="62"/>
      <c r="J394" s="62"/>
      <c r="K394" s="288"/>
      <c r="L394" s="27"/>
      <c r="M394" s="1223"/>
      <c r="N394" s="61"/>
      <c r="O394" s="61"/>
    </row>
    <row r="395" spans="1:15" s="642" customFormat="1" x14ac:dyDescent="0.2">
      <c r="A395" s="99"/>
      <c r="B395" s="111"/>
      <c r="C395" s="111">
        <v>160</v>
      </c>
      <c r="D395" s="99"/>
      <c r="E395" s="176"/>
      <c r="F395" s="1"/>
      <c r="G395" s="38"/>
      <c r="H395" s="138" t="s">
        <v>369</v>
      </c>
      <c r="I395" s="171"/>
      <c r="J395" s="287"/>
      <c r="K395" s="894"/>
      <c r="L395" s="27"/>
      <c r="M395" s="1223"/>
      <c r="N395" s="61"/>
      <c r="O395" s="61"/>
    </row>
    <row r="396" spans="1:15" s="642" customFormat="1" x14ac:dyDescent="0.2">
      <c r="A396" s="99"/>
      <c r="B396" s="111"/>
      <c r="C396" s="111"/>
      <c r="D396" s="99"/>
      <c r="E396" s="176"/>
      <c r="F396" s="1"/>
      <c r="G396" s="38"/>
      <c r="H396" s="44"/>
      <c r="I396" s="47"/>
      <c r="J396" s="62"/>
      <c r="K396" s="288"/>
      <c r="L396" s="27"/>
      <c r="M396" s="1223"/>
      <c r="N396" s="61"/>
      <c r="O396" s="61"/>
    </row>
    <row r="397" spans="1:15" s="642" customFormat="1" x14ac:dyDescent="0.2">
      <c r="A397" s="99"/>
      <c r="B397" s="111"/>
      <c r="C397" s="119"/>
      <c r="D397" s="94"/>
      <c r="E397" s="176"/>
      <c r="F397" s="124">
        <v>44</v>
      </c>
      <c r="G397" s="95">
        <v>481</v>
      </c>
      <c r="H397" s="89" t="s">
        <v>46</v>
      </c>
      <c r="I397" s="160">
        <v>3500000</v>
      </c>
      <c r="J397" s="160"/>
      <c r="K397" s="160">
        <f>SUM(I397:J397)</f>
        <v>3500000</v>
      </c>
      <c r="L397" s="27"/>
      <c r="M397" s="1223"/>
      <c r="N397" s="61"/>
      <c r="O397" s="61"/>
    </row>
    <row r="398" spans="1:15" s="642" customFormat="1" x14ac:dyDescent="0.2">
      <c r="A398" s="99"/>
      <c r="B398" s="781"/>
      <c r="C398" s="121"/>
      <c r="D398" s="583"/>
      <c r="E398" s="177"/>
      <c r="F398" s="42"/>
      <c r="G398" s="42"/>
      <c r="H398" s="97" t="s">
        <v>754</v>
      </c>
      <c r="I398" s="162">
        <f>SUM(I397)</f>
        <v>3500000</v>
      </c>
      <c r="J398" s="162"/>
      <c r="K398" s="162">
        <f t="shared" ref="K398" si="24">SUM(K397)</f>
        <v>3500000</v>
      </c>
      <c r="L398" s="27"/>
      <c r="M398" s="1223"/>
      <c r="N398" s="61"/>
      <c r="O398" s="61"/>
    </row>
    <row r="399" spans="1:15" s="642" customFormat="1" x14ac:dyDescent="0.2">
      <c r="A399" s="100"/>
      <c r="B399" s="111"/>
      <c r="C399" s="119"/>
      <c r="D399" s="99"/>
      <c r="E399" s="176"/>
      <c r="F399" s="1"/>
      <c r="G399" s="38" t="s">
        <v>39</v>
      </c>
      <c r="H399" s="90" t="s">
        <v>40</v>
      </c>
      <c r="I399" s="160">
        <f>SUM(I398)</f>
        <v>3500000</v>
      </c>
      <c r="J399" s="160"/>
      <c r="K399" s="160">
        <f>SUM(K398)</f>
        <v>3500000</v>
      </c>
      <c r="L399" s="27"/>
      <c r="M399" s="1223"/>
      <c r="N399" s="61"/>
      <c r="O399" s="61"/>
    </row>
    <row r="400" spans="1:15" s="642" customFormat="1" x14ac:dyDescent="0.2">
      <c r="A400" s="101"/>
      <c r="B400" s="781"/>
      <c r="C400" s="121"/>
      <c r="D400" s="101"/>
      <c r="E400" s="177"/>
      <c r="F400" s="42"/>
      <c r="G400" s="43"/>
      <c r="H400" s="97" t="s">
        <v>361</v>
      </c>
      <c r="I400" s="162">
        <f>SUM(I399)</f>
        <v>3500000</v>
      </c>
      <c r="J400" s="162"/>
      <c r="K400" s="162">
        <f>SUM(K399)</f>
        <v>3500000</v>
      </c>
      <c r="L400" s="27"/>
      <c r="M400" s="1223"/>
      <c r="N400" s="61"/>
      <c r="O400" s="61"/>
    </row>
    <row r="401" spans="1:15" s="642" customFormat="1" x14ac:dyDescent="0.2">
      <c r="A401" s="100"/>
      <c r="B401" s="111"/>
      <c r="C401" s="119"/>
      <c r="D401" s="99"/>
      <c r="E401" s="176"/>
      <c r="F401" s="1"/>
      <c r="G401" s="1"/>
      <c r="H401" s="138" t="s">
        <v>44</v>
      </c>
      <c r="I401" s="163"/>
      <c r="J401" s="163"/>
      <c r="K401" s="164"/>
      <c r="L401" s="27"/>
      <c r="M401" s="1223"/>
      <c r="N401" s="61"/>
      <c r="O401" s="61"/>
    </row>
    <row r="402" spans="1:15" s="642" customFormat="1" x14ac:dyDescent="0.2">
      <c r="A402" s="99"/>
      <c r="B402" s="111"/>
      <c r="C402" s="119"/>
      <c r="D402" s="99"/>
      <c r="E402" s="176"/>
      <c r="F402" s="1"/>
      <c r="G402" s="38" t="s">
        <v>39</v>
      </c>
      <c r="H402" s="90" t="s">
        <v>40</v>
      </c>
      <c r="I402" s="160">
        <f>SUM(I383+I399+I389)</f>
        <v>18500000</v>
      </c>
      <c r="J402" s="160"/>
      <c r="K402" s="160">
        <f>SUM(I402+J402)</f>
        <v>18500000</v>
      </c>
      <c r="L402" s="27"/>
      <c r="M402" s="1223"/>
      <c r="N402" s="61"/>
      <c r="O402" s="61"/>
    </row>
    <row r="403" spans="1:15" s="642" customFormat="1" x14ac:dyDescent="0.2">
      <c r="A403" s="101"/>
      <c r="B403" s="781"/>
      <c r="C403" s="121"/>
      <c r="D403" s="101"/>
      <c r="E403" s="177"/>
      <c r="F403" s="42"/>
      <c r="G403" s="43"/>
      <c r="H403" s="97" t="s">
        <v>45</v>
      </c>
      <c r="I403" s="162">
        <f>SUM(I402:I402)</f>
        <v>18500000</v>
      </c>
      <c r="J403" s="162"/>
      <c r="K403" s="162">
        <f>SUM(K402)</f>
        <v>18500000</v>
      </c>
      <c r="L403" s="27"/>
      <c r="M403" s="1223"/>
      <c r="N403" s="61"/>
      <c r="O403" s="61"/>
    </row>
    <row r="404" spans="1:15" x14ac:dyDescent="0.2">
      <c r="A404" s="369"/>
      <c r="B404" s="118"/>
      <c r="C404" s="209"/>
      <c r="D404" s="369"/>
      <c r="E404" s="254"/>
      <c r="F404" s="208"/>
      <c r="G404" s="317"/>
      <c r="H404" s="386"/>
      <c r="I404" s="227"/>
      <c r="J404" s="227"/>
      <c r="K404" s="387"/>
    </row>
    <row r="405" spans="1:15" s="642" customFormat="1" ht="15" x14ac:dyDescent="0.2">
      <c r="A405" s="788"/>
      <c r="B405" s="898"/>
      <c r="C405" s="899"/>
      <c r="D405" s="493" t="s">
        <v>296</v>
      </c>
      <c r="E405" s="767"/>
      <c r="F405" s="134"/>
      <c r="G405" s="135"/>
      <c r="H405" s="220" t="s">
        <v>297</v>
      </c>
      <c r="I405" s="817">
        <f>SUM(I412+I418)</f>
        <v>10610597</v>
      </c>
      <c r="J405" s="900"/>
      <c r="K405" s="818">
        <f t="shared" ref="K405" si="25">SUM(K423)</f>
        <v>10610597</v>
      </c>
      <c r="L405" s="887"/>
      <c r="M405" s="1223"/>
      <c r="N405" s="61"/>
      <c r="O405" s="61"/>
    </row>
    <row r="406" spans="1:15" s="642" customFormat="1" ht="15" x14ac:dyDescent="0.2">
      <c r="A406" s="102"/>
      <c r="B406" s="901"/>
      <c r="C406" s="902"/>
      <c r="D406" s="903"/>
      <c r="E406" s="248"/>
      <c r="F406" s="37"/>
      <c r="G406" s="30"/>
      <c r="H406" s="29"/>
      <c r="I406" s="31"/>
      <c r="J406" s="31"/>
      <c r="K406" s="197"/>
      <c r="L406" s="891"/>
      <c r="M406" s="1223"/>
      <c r="N406" s="61"/>
      <c r="O406" s="61"/>
    </row>
    <row r="407" spans="1:15" s="642" customFormat="1" ht="22.5" x14ac:dyDescent="0.2">
      <c r="A407" s="99"/>
      <c r="B407" s="111"/>
      <c r="C407" s="119"/>
      <c r="D407" s="99"/>
      <c r="E407" s="483" t="s">
        <v>296</v>
      </c>
      <c r="F407" s="1"/>
      <c r="G407" s="1"/>
      <c r="H407" s="897" t="s">
        <v>522</v>
      </c>
      <c r="I407" s="904"/>
      <c r="J407" s="904"/>
      <c r="K407" s="905"/>
      <c r="L407" s="27"/>
      <c r="M407" s="1223"/>
      <c r="N407" s="61"/>
      <c r="O407" s="61"/>
    </row>
    <row r="408" spans="1:15" s="642" customFormat="1" x14ac:dyDescent="0.2">
      <c r="A408" s="99"/>
      <c r="B408" s="111"/>
      <c r="C408" s="119"/>
      <c r="D408" s="99"/>
      <c r="E408" s="176"/>
      <c r="F408" s="124">
        <v>45</v>
      </c>
      <c r="G408" s="95">
        <v>472</v>
      </c>
      <c r="H408" s="90" t="s">
        <v>220</v>
      </c>
      <c r="I408" s="241">
        <v>610597</v>
      </c>
      <c r="J408" s="173"/>
      <c r="K408" s="133">
        <f>SUM(I408+J408)</f>
        <v>610597</v>
      </c>
      <c r="L408" s="27"/>
      <c r="M408" s="1223"/>
      <c r="N408" s="61"/>
      <c r="O408" s="61"/>
    </row>
    <row r="409" spans="1:15" s="893" customFormat="1" x14ac:dyDescent="0.2">
      <c r="A409" s="101"/>
      <c r="B409" s="781"/>
      <c r="C409" s="121"/>
      <c r="D409" s="101"/>
      <c r="E409" s="177"/>
      <c r="F409" s="42"/>
      <c r="G409" s="42"/>
      <c r="H409" s="153" t="s">
        <v>399</v>
      </c>
      <c r="I409" s="162">
        <f>SUM(I408)</f>
        <v>610597</v>
      </c>
      <c r="J409" s="162"/>
      <c r="K409" s="162">
        <f t="shared" ref="K409" si="26">SUM(K408)</f>
        <v>610597</v>
      </c>
      <c r="L409" s="27"/>
      <c r="M409" s="1224"/>
      <c r="N409" s="892"/>
      <c r="O409" s="892"/>
    </row>
    <row r="410" spans="1:15" s="896" customFormat="1" x14ac:dyDescent="0.2">
      <c r="A410" s="100"/>
      <c r="B410" s="111"/>
      <c r="C410" s="119"/>
      <c r="D410" s="99"/>
      <c r="E410" s="176"/>
      <c r="F410" s="1"/>
      <c r="G410" s="38" t="s">
        <v>39</v>
      </c>
      <c r="H410" s="90" t="s">
        <v>40</v>
      </c>
      <c r="I410" s="160">
        <f>SUM(I409)-I411</f>
        <v>305298.5</v>
      </c>
      <c r="J410" s="133"/>
      <c r="K410" s="133">
        <f>SUM(I410+J410)</f>
        <v>305298.5</v>
      </c>
      <c r="L410" s="26"/>
      <c r="M410" s="1225"/>
      <c r="N410" s="895"/>
      <c r="O410" s="895"/>
    </row>
    <row r="411" spans="1:15" s="642" customFormat="1" x14ac:dyDescent="0.2">
      <c r="A411" s="99"/>
      <c r="B411" s="111"/>
      <c r="C411" s="119"/>
      <c r="D411" s="99"/>
      <c r="E411" s="176"/>
      <c r="F411" s="1"/>
      <c r="G411" s="38" t="s">
        <v>1141</v>
      </c>
      <c r="H411" s="90" t="s">
        <v>1142</v>
      </c>
      <c r="I411" s="160">
        <v>305298.5</v>
      </c>
      <c r="J411" s="133"/>
      <c r="K411" s="133">
        <f>SUM(I411+J411)</f>
        <v>305298.5</v>
      </c>
      <c r="L411" s="27"/>
      <c r="M411" s="1223"/>
      <c r="N411" s="61"/>
      <c r="O411" s="61"/>
    </row>
    <row r="412" spans="1:15" s="642" customFormat="1" x14ac:dyDescent="0.2">
      <c r="A412" s="101"/>
      <c r="B412" s="781"/>
      <c r="C412" s="121"/>
      <c r="D412" s="101"/>
      <c r="E412" s="177"/>
      <c r="F412" s="42"/>
      <c r="G412" s="43"/>
      <c r="H412" s="97" t="s">
        <v>361</v>
      </c>
      <c r="I412" s="162">
        <f>SUM(I410:I411)</f>
        <v>610597</v>
      </c>
      <c r="J412" s="170"/>
      <c r="K412" s="170">
        <f>SUM(K410:K411)</f>
        <v>610597</v>
      </c>
      <c r="L412" s="27"/>
      <c r="M412" s="1223"/>
      <c r="N412" s="61"/>
      <c r="O412" s="61"/>
    </row>
    <row r="413" spans="1:15" s="642" customFormat="1" x14ac:dyDescent="0.2">
      <c r="A413" s="99"/>
      <c r="B413" s="111"/>
      <c r="C413" s="119"/>
      <c r="D413" s="99"/>
      <c r="E413" s="176"/>
      <c r="F413" s="1"/>
      <c r="G413" s="38"/>
      <c r="H413" s="29"/>
      <c r="I413" s="906"/>
      <c r="J413" s="906"/>
      <c r="K413" s="907"/>
      <c r="L413" s="27"/>
      <c r="M413" s="1223"/>
      <c r="N413" s="61"/>
      <c r="O413" s="61"/>
    </row>
    <row r="414" spans="1:15" s="642" customFormat="1" ht="22.5" x14ac:dyDescent="0.2">
      <c r="A414" s="99"/>
      <c r="B414" s="111"/>
      <c r="C414" s="119"/>
      <c r="D414" s="99"/>
      <c r="E414" s="483" t="s">
        <v>296</v>
      </c>
      <c r="F414" s="1"/>
      <c r="G414" s="1"/>
      <c r="H414" s="897" t="s">
        <v>939</v>
      </c>
      <c r="I414" s="904"/>
      <c r="J414" s="904"/>
      <c r="K414" s="905"/>
      <c r="L414" s="27"/>
      <c r="M414" s="1223"/>
      <c r="N414" s="61"/>
      <c r="O414" s="61"/>
    </row>
    <row r="415" spans="1:15" s="642" customFormat="1" x14ac:dyDescent="0.2">
      <c r="A415" s="99"/>
      <c r="B415" s="111"/>
      <c r="C415" s="119"/>
      <c r="D415" s="99"/>
      <c r="E415" s="176"/>
      <c r="F415" s="124">
        <v>46</v>
      </c>
      <c r="G415" s="95">
        <v>472</v>
      </c>
      <c r="H415" s="90" t="s">
        <v>220</v>
      </c>
      <c r="I415" s="241">
        <v>10000000</v>
      </c>
      <c r="J415" s="173"/>
      <c r="K415" s="133">
        <f>SUM(I415+J415)</f>
        <v>10000000</v>
      </c>
      <c r="L415" s="27"/>
      <c r="M415" s="1223"/>
      <c r="N415" s="61"/>
      <c r="O415" s="61"/>
    </row>
    <row r="416" spans="1:15" s="642" customFormat="1" x14ac:dyDescent="0.2">
      <c r="A416" s="99"/>
      <c r="B416" s="111"/>
      <c r="C416" s="119"/>
      <c r="D416" s="99"/>
      <c r="E416" s="176"/>
      <c r="F416" s="42"/>
      <c r="G416" s="42"/>
      <c r="H416" s="153" t="s">
        <v>399</v>
      </c>
      <c r="I416" s="162">
        <f>SUM(I415)</f>
        <v>10000000</v>
      </c>
      <c r="J416" s="162"/>
      <c r="K416" s="162">
        <f t="shared" ref="K416" si="27">SUM(K415)</f>
        <v>10000000</v>
      </c>
      <c r="L416" s="27"/>
      <c r="M416" s="1223"/>
      <c r="N416" s="61"/>
      <c r="O416" s="61"/>
    </row>
    <row r="417" spans="1:15" s="642" customFormat="1" x14ac:dyDescent="0.2">
      <c r="A417" s="99"/>
      <c r="B417" s="111"/>
      <c r="C417" s="119"/>
      <c r="D417" s="99"/>
      <c r="E417" s="176"/>
      <c r="F417" s="1"/>
      <c r="G417" s="38" t="s">
        <v>39</v>
      </c>
      <c r="H417" s="90" t="s">
        <v>40</v>
      </c>
      <c r="I417" s="160">
        <f>SUM(I416)</f>
        <v>10000000</v>
      </c>
      <c r="J417" s="133"/>
      <c r="K417" s="133">
        <f>SUM(I417+J417)</f>
        <v>10000000</v>
      </c>
      <c r="L417" s="27"/>
      <c r="M417" s="1223"/>
      <c r="N417" s="61"/>
      <c r="O417" s="61"/>
    </row>
    <row r="418" spans="1:15" s="642" customFormat="1" x14ac:dyDescent="0.2">
      <c r="A418" s="94"/>
      <c r="B418" s="112"/>
      <c r="C418" s="111"/>
      <c r="D418" s="98"/>
      <c r="E418" s="128"/>
      <c r="F418" s="42"/>
      <c r="G418" s="43"/>
      <c r="H418" s="97" t="s">
        <v>361</v>
      </c>
      <c r="I418" s="162">
        <f>SUM(I417:I417)</f>
        <v>10000000</v>
      </c>
      <c r="J418" s="170"/>
      <c r="K418" s="170">
        <f>SUM(K417:K417)</f>
        <v>10000000</v>
      </c>
      <c r="L418" s="27"/>
      <c r="M418" s="1223"/>
      <c r="N418" s="61"/>
      <c r="O418" s="61"/>
    </row>
    <row r="419" spans="1:15" x14ac:dyDescent="0.2">
      <c r="A419" s="106"/>
      <c r="B419" s="375"/>
      <c r="C419" s="113"/>
      <c r="D419" s="359"/>
      <c r="E419" s="213"/>
      <c r="F419" s="46"/>
      <c r="G419" s="64"/>
      <c r="H419" s="309"/>
      <c r="I419" s="234"/>
      <c r="J419" s="234"/>
      <c r="K419" s="388"/>
    </row>
    <row r="420" spans="1:15" s="642" customFormat="1" x14ac:dyDescent="0.2">
      <c r="A420" s="99"/>
      <c r="B420" s="111"/>
      <c r="C420" s="119"/>
      <c r="D420" s="99"/>
      <c r="E420" s="176"/>
      <c r="F420" s="1"/>
      <c r="G420" s="1"/>
      <c r="H420" s="138" t="s">
        <v>44</v>
      </c>
      <c r="I420" s="163"/>
      <c r="J420" s="163"/>
      <c r="K420" s="164"/>
      <c r="L420" s="27"/>
      <c r="M420" s="1223"/>
      <c r="N420" s="61"/>
      <c r="O420" s="61"/>
    </row>
    <row r="421" spans="1:15" s="642" customFormat="1" x14ac:dyDescent="0.2">
      <c r="A421" s="99"/>
      <c r="B421" s="111"/>
      <c r="C421" s="119"/>
      <c r="D421" s="99"/>
      <c r="E421" s="176"/>
      <c r="F421" s="1"/>
      <c r="G421" s="38" t="s">
        <v>39</v>
      </c>
      <c r="H421" s="90" t="s">
        <v>40</v>
      </c>
      <c r="I421" s="160">
        <f>SUM(I410+I417)</f>
        <v>10305298.5</v>
      </c>
      <c r="J421" s="160"/>
      <c r="K421" s="160">
        <f>SUM(I421+J421)</f>
        <v>10305298.5</v>
      </c>
      <c r="L421" s="27"/>
      <c r="M421" s="1223"/>
      <c r="N421" s="61"/>
      <c r="O421" s="61"/>
    </row>
    <row r="422" spans="1:15" s="642" customFormat="1" x14ac:dyDescent="0.2">
      <c r="A422" s="99"/>
      <c r="B422" s="111"/>
      <c r="C422" s="119"/>
      <c r="D422" s="99"/>
      <c r="E422" s="176"/>
      <c r="F422" s="1"/>
      <c r="G422" s="38" t="s">
        <v>1141</v>
      </c>
      <c r="H422" s="90" t="s">
        <v>1142</v>
      </c>
      <c r="I422" s="160">
        <f>SUM(I411)</f>
        <v>305298.5</v>
      </c>
      <c r="J422" s="160"/>
      <c r="K422" s="160">
        <f>SUM(I422+J422)</f>
        <v>305298.5</v>
      </c>
      <c r="L422" s="27"/>
      <c r="M422" s="1223"/>
      <c r="N422" s="61"/>
      <c r="O422" s="61"/>
    </row>
    <row r="423" spans="1:15" s="642" customFormat="1" x14ac:dyDescent="0.2">
      <c r="A423" s="101"/>
      <c r="B423" s="781"/>
      <c r="C423" s="121"/>
      <c r="D423" s="101"/>
      <c r="E423" s="177"/>
      <c r="F423" s="42"/>
      <c r="G423" s="43"/>
      <c r="H423" s="96" t="s">
        <v>45</v>
      </c>
      <c r="I423" s="161">
        <f>SUM(I421:I422)</f>
        <v>10610597</v>
      </c>
      <c r="J423" s="161"/>
      <c r="K423" s="161">
        <f>SUM(K421:K422)</f>
        <v>10610597</v>
      </c>
      <c r="L423" s="27"/>
      <c r="M423" s="1223"/>
      <c r="N423" s="61"/>
      <c r="O423" s="61"/>
    </row>
    <row r="424" spans="1:15" x14ac:dyDescent="0.2">
      <c r="A424" s="106"/>
      <c r="B424" s="375"/>
      <c r="C424" s="113"/>
      <c r="D424" s="359"/>
      <c r="E424" s="213"/>
      <c r="F424" s="46"/>
      <c r="G424" s="64"/>
      <c r="H424" s="347"/>
      <c r="I424" s="59"/>
      <c r="J424" s="59"/>
      <c r="K424" s="373"/>
    </row>
    <row r="425" spans="1:15" s="642" customFormat="1" x14ac:dyDescent="0.2">
      <c r="A425" s="788"/>
      <c r="B425" s="789"/>
      <c r="C425" s="790"/>
      <c r="D425" s="148" t="s">
        <v>312</v>
      </c>
      <c r="E425" s="767"/>
      <c r="F425" s="134"/>
      <c r="G425" s="135"/>
      <c r="H425" s="220" t="s">
        <v>313</v>
      </c>
      <c r="I425" s="221">
        <f>SUM(I435+I445+I441)</f>
        <v>13702500</v>
      </c>
      <c r="J425" s="908"/>
      <c r="K425" s="222">
        <f>SUM(I425:J425)</f>
        <v>13702500</v>
      </c>
      <c r="L425" s="887"/>
      <c r="M425" s="1223"/>
      <c r="N425" s="61"/>
      <c r="O425" s="61"/>
    </row>
    <row r="426" spans="1:15" s="642" customFormat="1" x14ac:dyDescent="0.2">
      <c r="A426" s="788"/>
      <c r="B426" s="789"/>
      <c r="C426" s="790"/>
      <c r="D426" s="148"/>
      <c r="E426" s="767"/>
      <c r="F426" s="134"/>
      <c r="G426" s="135"/>
      <c r="H426" s="144"/>
      <c r="I426" s="791"/>
      <c r="J426" s="909"/>
      <c r="K426" s="792"/>
      <c r="L426" s="887"/>
      <c r="M426" s="1223"/>
      <c r="N426" s="61"/>
      <c r="O426" s="61"/>
    </row>
    <row r="427" spans="1:15" s="642" customFormat="1" x14ac:dyDescent="0.2">
      <c r="A427" s="99"/>
      <c r="B427" s="111"/>
      <c r="C427" s="119"/>
      <c r="D427" s="99"/>
      <c r="E427" s="176"/>
      <c r="F427" s="1"/>
      <c r="G427" s="38"/>
      <c r="H427" s="136" t="s">
        <v>334</v>
      </c>
      <c r="I427" s="180"/>
      <c r="J427" s="180"/>
      <c r="K427" s="889"/>
      <c r="L427" s="27"/>
      <c r="M427" s="1223"/>
      <c r="N427" s="61"/>
      <c r="O427" s="61"/>
    </row>
    <row r="428" spans="1:15" s="642" customFormat="1" x14ac:dyDescent="0.2">
      <c r="A428" s="99"/>
      <c r="B428" s="111"/>
      <c r="C428" s="119"/>
      <c r="D428" s="98"/>
      <c r="E428" s="128" t="s">
        <v>326</v>
      </c>
      <c r="F428" s="1"/>
      <c r="G428" s="40"/>
      <c r="H428" s="137" t="s">
        <v>543</v>
      </c>
      <c r="I428" s="141"/>
      <c r="J428" s="141"/>
      <c r="K428" s="793"/>
      <c r="L428" s="27"/>
      <c r="M428" s="1223"/>
      <c r="N428" s="61"/>
      <c r="O428" s="61"/>
    </row>
    <row r="429" spans="1:15" s="893" customFormat="1" x14ac:dyDescent="0.2">
      <c r="A429" s="102"/>
      <c r="B429" s="890"/>
      <c r="C429" s="116"/>
      <c r="D429" s="125"/>
      <c r="E429" s="126"/>
      <c r="F429" s="37"/>
      <c r="G429" s="28"/>
      <c r="H429" s="29"/>
      <c r="I429" s="62"/>
      <c r="J429" s="62"/>
      <c r="K429" s="288"/>
      <c r="L429" s="27"/>
      <c r="M429" s="1224"/>
      <c r="N429" s="892"/>
      <c r="O429" s="892"/>
    </row>
    <row r="430" spans="1:15" s="893" customFormat="1" x14ac:dyDescent="0.2">
      <c r="A430" s="102"/>
      <c r="B430" s="890"/>
      <c r="C430" s="111">
        <v>160</v>
      </c>
      <c r="D430" s="99"/>
      <c r="E430" s="176"/>
      <c r="F430" s="1"/>
      <c r="G430" s="38"/>
      <c r="H430" s="138" t="s">
        <v>369</v>
      </c>
      <c r="I430" s="287"/>
      <c r="J430" s="287"/>
      <c r="K430" s="894"/>
      <c r="L430" s="27"/>
      <c r="M430" s="1224"/>
      <c r="N430" s="892"/>
      <c r="O430" s="892"/>
    </row>
    <row r="431" spans="1:15" s="642" customFormat="1" x14ac:dyDescent="0.2">
      <c r="A431" s="102"/>
      <c r="B431" s="890"/>
      <c r="C431" s="111"/>
      <c r="D431" s="99"/>
      <c r="E431" s="176"/>
      <c r="F431" s="1"/>
      <c r="G431" s="38"/>
      <c r="H431" s="44"/>
      <c r="I431" s="62"/>
      <c r="J431" s="62"/>
      <c r="K431" s="288"/>
      <c r="L431" s="27"/>
      <c r="M431" s="1223"/>
      <c r="N431" s="61"/>
      <c r="O431" s="61"/>
    </row>
    <row r="432" spans="1:15" s="642" customFormat="1" x14ac:dyDescent="0.2">
      <c r="A432" s="99"/>
      <c r="B432" s="111"/>
      <c r="C432" s="119"/>
      <c r="D432" s="99"/>
      <c r="E432" s="176"/>
      <c r="F432" s="910" t="s">
        <v>429</v>
      </c>
      <c r="G432" s="911">
        <v>423</v>
      </c>
      <c r="H432" s="89" t="s">
        <v>392</v>
      </c>
      <c r="I432" s="160">
        <v>4550000</v>
      </c>
      <c r="J432" s="88"/>
      <c r="K432" s="160">
        <f>SUM(I432+J432)</f>
        <v>4550000</v>
      </c>
      <c r="L432" s="27"/>
      <c r="M432" s="1223"/>
      <c r="N432" s="61"/>
      <c r="O432" s="61"/>
    </row>
    <row r="433" spans="1:15" s="642" customFormat="1" x14ac:dyDescent="0.2">
      <c r="A433" s="99"/>
      <c r="B433" s="781"/>
      <c r="C433" s="121"/>
      <c r="D433" s="101"/>
      <c r="E433" s="177"/>
      <c r="F433" s="42"/>
      <c r="G433" s="42"/>
      <c r="H433" s="97" t="s">
        <v>756</v>
      </c>
      <c r="I433" s="162">
        <f>SUM(I432)</f>
        <v>4550000</v>
      </c>
      <c r="J433" s="162"/>
      <c r="K433" s="162">
        <f>SUM(K432)</f>
        <v>4550000</v>
      </c>
      <c r="L433" s="27"/>
      <c r="M433" s="1223"/>
      <c r="N433" s="61"/>
      <c r="O433" s="61"/>
    </row>
    <row r="434" spans="1:15" s="642" customFormat="1" x14ac:dyDescent="0.2">
      <c r="A434" s="100"/>
      <c r="B434" s="111"/>
      <c r="C434" s="119"/>
      <c r="D434" s="99"/>
      <c r="E434" s="176"/>
      <c r="F434" s="1"/>
      <c r="G434" s="38" t="s">
        <v>39</v>
      </c>
      <c r="H434" s="90" t="s">
        <v>40</v>
      </c>
      <c r="I434" s="160">
        <f>SUM(I432)</f>
        <v>4550000</v>
      </c>
      <c r="J434" s="160"/>
      <c r="K434" s="160">
        <f>SUM(I434+J434)</f>
        <v>4550000</v>
      </c>
      <c r="L434" s="27"/>
      <c r="M434" s="1223"/>
      <c r="N434" s="61"/>
      <c r="O434" s="61"/>
    </row>
    <row r="435" spans="1:15" s="642" customFormat="1" x14ac:dyDescent="0.2">
      <c r="A435" s="101"/>
      <c r="B435" s="781"/>
      <c r="C435" s="121"/>
      <c r="D435" s="101"/>
      <c r="E435" s="177"/>
      <c r="F435" s="42"/>
      <c r="G435" s="43"/>
      <c r="H435" s="97" t="s">
        <v>361</v>
      </c>
      <c r="I435" s="162">
        <f>SUM(I434)</f>
        <v>4550000</v>
      </c>
      <c r="J435" s="162"/>
      <c r="K435" s="162">
        <f t="shared" ref="K435" si="28">SUM(K434)</f>
        <v>4550000</v>
      </c>
      <c r="L435" s="27"/>
      <c r="M435" s="1223"/>
      <c r="N435" s="61"/>
      <c r="O435" s="61"/>
    </row>
    <row r="436" spans="1:15" x14ac:dyDescent="0.2">
      <c r="A436" s="103"/>
      <c r="B436" s="113"/>
      <c r="C436" s="122"/>
      <c r="D436" s="103"/>
      <c r="E436" s="176"/>
      <c r="F436" s="1"/>
      <c r="G436" s="1"/>
      <c r="H436" s="452"/>
      <c r="I436" s="62"/>
      <c r="J436" s="62"/>
      <c r="K436" s="288"/>
    </row>
    <row r="437" spans="1:15" x14ac:dyDescent="0.2">
      <c r="A437" s="103"/>
      <c r="B437" s="113"/>
      <c r="C437" s="122"/>
      <c r="D437" s="103"/>
      <c r="E437" s="128">
        <v>1501</v>
      </c>
      <c r="F437" s="1"/>
      <c r="G437" s="1"/>
      <c r="H437" s="155" t="s">
        <v>398</v>
      </c>
      <c r="I437" s="158"/>
      <c r="J437" s="158"/>
      <c r="K437" s="159"/>
    </row>
    <row r="438" spans="1:15" x14ac:dyDescent="0.2">
      <c r="A438" s="103"/>
      <c r="B438" s="113"/>
      <c r="C438" s="122"/>
      <c r="D438" s="103"/>
      <c r="E438" s="176"/>
      <c r="F438" s="124">
        <v>48</v>
      </c>
      <c r="G438" s="95">
        <v>481</v>
      </c>
      <c r="H438" s="90" t="s">
        <v>222</v>
      </c>
      <c r="I438" s="160">
        <v>9100000</v>
      </c>
      <c r="J438" s="161"/>
      <c r="K438" s="160">
        <f>SUM(I438+J438)</f>
        <v>9100000</v>
      </c>
    </row>
    <row r="439" spans="1:15" x14ac:dyDescent="0.2">
      <c r="A439" s="104"/>
      <c r="B439" s="114"/>
      <c r="C439" s="123"/>
      <c r="D439" s="104"/>
      <c r="E439" s="177"/>
      <c r="F439" s="42"/>
      <c r="G439" s="42"/>
      <c r="H439" s="153" t="s">
        <v>399</v>
      </c>
      <c r="I439" s="162">
        <f>SUM(I438)</f>
        <v>9100000</v>
      </c>
      <c r="J439" s="162"/>
      <c r="K439" s="162">
        <f t="shared" ref="K439" si="29">SUM(K438)</f>
        <v>9100000</v>
      </c>
    </row>
    <row r="440" spans="1:15" x14ac:dyDescent="0.2">
      <c r="A440" s="369"/>
      <c r="B440" s="113"/>
      <c r="C440" s="122"/>
      <c r="D440" s="103"/>
      <c r="E440" s="176"/>
      <c r="F440" s="1"/>
      <c r="G440" s="38" t="s">
        <v>39</v>
      </c>
      <c r="H440" s="90" t="s">
        <v>40</v>
      </c>
      <c r="I440" s="160">
        <f>SUM(I439)</f>
        <v>9100000</v>
      </c>
      <c r="J440" s="160"/>
      <c r="K440" s="160">
        <f>SUM(I440+J440)</f>
        <v>9100000</v>
      </c>
    </row>
    <row r="441" spans="1:15" x14ac:dyDescent="0.2">
      <c r="A441" s="104"/>
      <c r="B441" s="114"/>
      <c r="C441" s="123"/>
      <c r="D441" s="104"/>
      <c r="E441" s="177"/>
      <c r="F441" s="42"/>
      <c r="G441" s="43"/>
      <c r="H441" s="97" t="s">
        <v>361</v>
      </c>
      <c r="I441" s="162">
        <f>SUM(I440)</f>
        <v>9100000</v>
      </c>
      <c r="J441" s="162"/>
      <c r="K441" s="162">
        <f t="shared" ref="K441" si="30">SUM(K440)</f>
        <v>9100000</v>
      </c>
    </row>
    <row r="442" spans="1:15" x14ac:dyDescent="0.2">
      <c r="A442" s="103"/>
      <c r="B442" s="113"/>
      <c r="C442" s="122"/>
      <c r="D442" s="103"/>
      <c r="E442" s="176"/>
      <c r="F442" s="1"/>
      <c r="G442" s="38"/>
      <c r="H442" s="29"/>
      <c r="I442" s="60"/>
      <c r="J442" s="60"/>
      <c r="K442" s="200"/>
    </row>
    <row r="443" spans="1:15" x14ac:dyDescent="0.2">
      <c r="A443" s="103"/>
      <c r="B443" s="113"/>
      <c r="C443" s="122"/>
      <c r="D443" s="103"/>
      <c r="E443" s="1288" t="s">
        <v>312</v>
      </c>
      <c r="F443" s="296"/>
      <c r="G443" s="297"/>
      <c r="H443" s="1289" t="s">
        <v>1156</v>
      </c>
      <c r="I443" s="1290"/>
      <c r="J443" s="1290"/>
      <c r="K443" s="1291"/>
    </row>
    <row r="444" spans="1:15" x14ac:dyDescent="0.2">
      <c r="A444" s="103"/>
      <c r="B444" s="113"/>
      <c r="C444" s="122"/>
      <c r="D444" s="103"/>
      <c r="E444" s="395"/>
      <c r="F444" s="294" t="s">
        <v>1157</v>
      </c>
      <c r="G444" s="295">
        <v>481</v>
      </c>
      <c r="H444" s="1292" t="s">
        <v>222</v>
      </c>
      <c r="I444" s="1250">
        <v>52500</v>
      </c>
      <c r="J444" s="1293"/>
      <c r="K444" s="1250">
        <f>SUM(I444+J444)</f>
        <v>52500</v>
      </c>
    </row>
    <row r="445" spans="1:15" x14ac:dyDescent="0.2">
      <c r="A445" s="103"/>
      <c r="B445" s="113"/>
      <c r="C445" s="122"/>
      <c r="D445" s="103"/>
      <c r="E445" s="395"/>
      <c r="F445" s="1294"/>
      <c r="G445" s="1294"/>
      <c r="H445" s="1295" t="s">
        <v>351</v>
      </c>
      <c r="I445" s="1296">
        <f>SUM(I444)</f>
        <v>52500</v>
      </c>
      <c r="J445" s="1296"/>
      <c r="K445" s="1296">
        <f t="shared" ref="K445" si="31">SUM(K444)</f>
        <v>52500</v>
      </c>
    </row>
    <row r="446" spans="1:15" x14ac:dyDescent="0.2">
      <c r="A446" s="103"/>
      <c r="B446" s="113"/>
      <c r="C446" s="122"/>
      <c r="D446" s="103"/>
      <c r="E446" s="395"/>
      <c r="F446" s="296"/>
      <c r="G446" s="297" t="s">
        <v>39</v>
      </c>
      <c r="H446" s="1292" t="s">
        <v>40</v>
      </c>
      <c r="I446" s="1250">
        <f>SUM(I445)</f>
        <v>52500</v>
      </c>
      <c r="J446" s="1250"/>
      <c r="K446" s="1250">
        <f>SUM(I446+J446)</f>
        <v>52500</v>
      </c>
    </row>
    <row r="447" spans="1:15" x14ac:dyDescent="0.2">
      <c r="A447" s="103"/>
      <c r="B447" s="113"/>
      <c r="C447" s="122"/>
      <c r="D447" s="103"/>
      <c r="E447" s="395"/>
      <c r="F447" s="1294"/>
      <c r="G447" s="1297"/>
      <c r="H447" s="1298" t="s">
        <v>361</v>
      </c>
      <c r="I447" s="1296">
        <f>SUM(I446)</f>
        <v>52500</v>
      </c>
      <c r="J447" s="1296"/>
      <c r="K447" s="1296">
        <f t="shared" ref="K447" si="32">SUM(K446)</f>
        <v>52500</v>
      </c>
    </row>
    <row r="448" spans="1:15" x14ac:dyDescent="0.2">
      <c r="A448" s="103"/>
      <c r="B448" s="113"/>
      <c r="C448" s="122"/>
      <c r="D448" s="103"/>
      <c r="E448" s="176"/>
      <c r="F448" s="1"/>
      <c r="G448" s="38"/>
      <c r="H448" s="29"/>
      <c r="I448" s="60"/>
      <c r="J448" s="60"/>
      <c r="K448" s="200"/>
    </row>
    <row r="449" spans="1:15" s="642" customFormat="1" x14ac:dyDescent="0.2">
      <c r="A449" s="788"/>
      <c r="B449" s="789"/>
      <c r="C449" s="790"/>
      <c r="D449" s="912">
        <v>1201</v>
      </c>
      <c r="E449" s="148"/>
      <c r="F449" s="134"/>
      <c r="G449" s="135"/>
      <c r="H449" s="220" t="s">
        <v>723</v>
      </c>
      <c r="I449" s="221">
        <f>SUM(I461+I496)</f>
        <v>59850000</v>
      </c>
      <c r="J449" s="221"/>
      <c r="K449" s="222">
        <f>SUM(I449:J449)</f>
        <v>59850000</v>
      </c>
      <c r="L449" s="887"/>
      <c r="M449" s="1223"/>
      <c r="N449" s="61"/>
      <c r="O449" s="61"/>
    </row>
    <row r="450" spans="1:15" s="642" customFormat="1" x14ac:dyDescent="0.2">
      <c r="A450" s="788"/>
      <c r="B450" s="789"/>
      <c r="C450" s="790"/>
      <c r="D450" s="912"/>
      <c r="E450" s="148"/>
      <c r="F450" s="134"/>
      <c r="G450" s="135"/>
      <c r="H450" s="144"/>
      <c r="I450" s="791"/>
      <c r="J450" s="791"/>
      <c r="K450" s="792"/>
      <c r="L450" s="887"/>
      <c r="M450" s="1223"/>
      <c r="N450" s="61"/>
      <c r="O450" s="61"/>
    </row>
    <row r="451" spans="1:15" s="642" customFormat="1" x14ac:dyDescent="0.2">
      <c r="A451" s="99"/>
      <c r="B451" s="111"/>
      <c r="C451" s="119"/>
      <c r="D451" s="99"/>
      <c r="E451" s="128"/>
      <c r="F451" s="1"/>
      <c r="G451" s="38"/>
      <c r="H451" s="136" t="s">
        <v>336</v>
      </c>
      <c r="I451" s="139"/>
      <c r="J451" s="139"/>
      <c r="K451" s="140"/>
      <c r="L451" s="27"/>
      <c r="M451" s="1223"/>
      <c r="N451" s="61"/>
      <c r="O451" s="61"/>
    </row>
    <row r="452" spans="1:15" s="642" customFormat="1" ht="22.5" x14ac:dyDescent="0.2">
      <c r="A452" s="99"/>
      <c r="B452" s="111"/>
      <c r="C452" s="119"/>
      <c r="D452" s="99"/>
      <c r="E452" s="128" t="s">
        <v>544</v>
      </c>
      <c r="F452" s="1"/>
      <c r="G452" s="38"/>
      <c r="H452" s="913" t="s">
        <v>545</v>
      </c>
      <c r="I452" s="186"/>
      <c r="J452" s="186"/>
      <c r="K452" s="181"/>
      <c r="L452" s="27"/>
      <c r="M452" s="1223"/>
      <c r="N452" s="61"/>
      <c r="O452" s="61"/>
    </row>
    <row r="453" spans="1:15" s="893" customFormat="1" x14ac:dyDescent="0.2">
      <c r="A453" s="99"/>
      <c r="B453" s="111"/>
      <c r="C453" s="119"/>
      <c r="D453" s="99"/>
      <c r="E453" s="128"/>
      <c r="F453" s="1"/>
      <c r="G453" s="38"/>
      <c r="H453" s="914"/>
      <c r="I453" s="149"/>
      <c r="J453" s="149"/>
      <c r="K453" s="198"/>
      <c r="L453" s="27"/>
      <c r="M453" s="1224"/>
      <c r="N453" s="892"/>
      <c r="O453" s="892"/>
    </row>
    <row r="454" spans="1:15" s="893" customFormat="1" x14ac:dyDescent="0.2">
      <c r="A454" s="99"/>
      <c r="B454" s="111"/>
      <c r="C454" s="111">
        <v>840</v>
      </c>
      <c r="D454" s="98"/>
      <c r="E454" s="128"/>
      <c r="F454" s="1"/>
      <c r="G454" s="1"/>
      <c r="H454" s="915" t="s">
        <v>47</v>
      </c>
      <c r="I454" s="611"/>
      <c r="J454" s="611"/>
      <c r="K454" s="916"/>
      <c r="L454" s="27"/>
      <c r="M454" s="1224"/>
      <c r="N454" s="892"/>
      <c r="O454" s="892"/>
    </row>
    <row r="455" spans="1:15" s="642" customFormat="1" x14ac:dyDescent="0.2">
      <c r="A455" s="99"/>
      <c r="B455" s="111"/>
      <c r="C455" s="119"/>
      <c r="D455" s="94"/>
      <c r="E455" s="176"/>
      <c r="F455" s="124">
        <v>49</v>
      </c>
      <c r="G455" s="95">
        <v>481</v>
      </c>
      <c r="H455" s="89" t="s">
        <v>755</v>
      </c>
      <c r="I455" s="160">
        <v>14000000</v>
      </c>
      <c r="J455" s="160"/>
      <c r="K455" s="160">
        <f>SUM(I455+J455)</f>
        <v>14000000</v>
      </c>
      <c r="L455" s="27"/>
      <c r="M455" s="1223"/>
      <c r="N455" s="61"/>
      <c r="O455" s="61"/>
    </row>
    <row r="456" spans="1:15" s="642" customFormat="1" x14ac:dyDescent="0.2">
      <c r="A456" s="99"/>
      <c r="B456" s="781"/>
      <c r="C456" s="121"/>
      <c r="D456" s="583"/>
      <c r="E456" s="177"/>
      <c r="F456" s="42"/>
      <c r="G456" s="42"/>
      <c r="H456" s="97" t="s">
        <v>758</v>
      </c>
      <c r="I456" s="162">
        <f>SUM(I455)</f>
        <v>14000000</v>
      </c>
      <c r="J456" s="162"/>
      <c r="K456" s="162">
        <f t="shared" ref="K456" si="33">SUM(K455)</f>
        <v>14000000</v>
      </c>
      <c r="L456" s="27"/>
      <c r="M456" s="1223"/>
      <c r="N456" s="61"/>
      <c r="O456" s="61"/>
    </row>
    <row r="457" spans="1:15" s="642" customFormat="1" x14ac:dyDescent="0.2">
      <c r="A457" s="100"/>
      <c r="B457" s="111"/>
      <c r="C457" s="119"/>
      <c r="D457" s="94"/>
      <c r="E457" s="176"/>
      <c r="F457" s="1"/>
      <c r="G457" s="38" t="s">
        <v>39</v>
      </c>
      <c r="H457" s="90" t="s">
        <v>40</v>
      </c>
      <c r="I457" s="160">
        <f>SUM(I456)</f>
        <v>14000000</v>
      </c>
      <c r="J457" s="160"/>
      <c r="K457" s="160">
        <f>SUM(I457+J457)</f>
        <v>14000000</v>
      </c>
      <c r="L457" s="27"/>
      <c r="M457" s="1223"/>
      <c r="N457" s="61"/>
      <c r="O457" s="61"/>
    </row>
    <row r="458" spans="1:15" s="642" customFormat="1" x14ac:dyDescent="0.2">
      <c r="A458" s="101"/>
      <c r="B458" s="781"/>
      <c r="C458" s="121"/>
      <c r="D458" s="583"/>
      <c r="E458" s="177"/>
      <c r="F458" s="42"/>
      <c r="G458" s="43"/>
      <c r="H458" s="96" t="s">
        <v>400</v>
      </c>
      <c r="I458" s="161">
        <f>SUM(I457)</f>
        <v>14000000</v>
      </c>
      <c r="J458" s="161"/>
      <c r="K458" s="161">
        <f t="shared" ref="K458" si="34">SUM(K457)</f>
        <v>14000000</v>
      </c>
      <c r="L458" s="27"/>
      <c r="M458" s="1223"/>
      <c r="N458" s="61"/>
      <c r="O458" s="61"/>
    </row>
    <row r="459" spans="1:15" s="642" customFormat="1" x14ac:dyDescent="0.2">
      <c r="A459" s="100"/>
      <c r="B459" s="111"/>
      <c r="C459" s="119"/>
      <c r="D459" s="99"/>
      <c r="E459" s="176"/>
      <c r="F459" s="1"/>
      <c r="G459" s="1"/>
      <c r="H459" s="138" t="s">
        <v>48</v>
      </c>
      <c r="I459" s="163"/>
      <c r="J459" s="163"/>
      <c r="K459" s="164"/>
      <c r="L459" s="27"/>
      <c r="M459" s="1223"/>
      <c r="N459" s="61"/>
      <c r="O459" s="61"/>
    </row>
    <row r="460" spans="1:15" s="642" customFormat="1" x14ac:dyDescent="0.2">
      <c r="A460" s="99"/>
      <c r="B460" s="111"/>
      <c r="C460" s="119"/>
      <c r="D460" s="99"/>
      <c r="E460" s="176"/>
      <c r="F460" s="1"/>
      <c r="G460" s="38" t="s">
        <v>39</v>
      </c>
      <c r="H460" s="90" t="s">
        <v>40</v>
      </c>
      <c r="I460" s="160">
        <f>SUM(I457)</f>
        <v>14000000</v>
      </c>
      <c r="J460" s="160"/>
      <c r="K460" s="160">
        <f>SUM(I460+J460)</f>
        <v>14000000</v>
      </c>
      <c r="L460" s="27"/>
      <c r="M460" s="1223"/>
      <c r="N460" s="61"/>
      <c r="O460" s="61"/>
    </row>
    <row r="461" spans="1:15" s="642" customFormat="1" x14ac:dyDescent="0.2">
      <c r="A461" s="101"/>
      <c r="B461" s="781"/>
      <c r="C461" s="121"/>
      <c r="D461" s="101"/>
      <c r="E461" s="177"/>
      <c r="F461" s="42"/>
      <c r="G461" s="43"/>
      <c r="H461" s="96" t="s">
        <v>49</v>
      </c>
      <c r="I461" s="161">
        <f>SUM(I460)</f>
        <v>14000000</v>
      </c>
      <c r="J461" s="161"/>
      <c r="K461" s="161">
        <f t="shared" ref="K461" si="35">SUM(K460)</f>
        <v>14000000</v>
      </c>
      <c r="L461" s="27"/>
      <c r="M461" s="1223"/>
      <c r="N461" s="61"/>
      <c r="O461" s="61"/>
    </row>
    <row r="462" spans="1:15" x14ac:dyDescent="0.2">
      <c r="A462" s="103"/>
      <c r="B462" s="113"/>
      <c r="C462" s="122"/>
      <c r="D462" s="106"/>
      <c r="E462" s="250"/>
      <c r="F462" s="46"/>
      <c r="G462" s="64"/>
      <c r="H462" s="55"/>
      <c r="I462" s="59"/>
      <c r="J462" s="59"/>
      <c r="K462" s="373"/>
    </row>
    <row r="463" spans="1:15" s="642" customFormat="1" x14ac:dyDescent="0.2">
      <c r="A463" s="99"/>
      <c r="B463" s="111"/>
      <c r="C463" s="119"/>
      <c r="D463" s="94"/>
      <c r="E463" s="128"/>
      <c r="F463" s="1"/>
      <c r="G463" s="38"/>
      <c r="H463" s="136" t="s">
        <v>511</v>
      </c>
      <c r="I463" s="139"/>
      <c r="J463" s="139"/>
      <c r="K463" s="140"/>
      <c r="L463" s="27"/>
      <c r="M463" s="1223"/>
      <c r="N463" s="61"/>
      <c r="O463" s="61"/>
    </row>
    <row r="464" spans="1:15" s="642" customFormat="1" ht="22.5" x14ac:dyDescent="0.2">
      <c r="A464" s="99"/>
      <c r="B464" s="111"/>
      <c r="C464" s="119"/>
      <c r="D464" s="94"/>
      <c r="E464" s="128" t="s">
        <v>546</v>
      </c>
      <c r="F464" s="1"/>
      <c r="G464" s="38"/>
      <c r="H464" s="913" t="s">
        <v>547</v>
      </c>
      <c r="I464" s="141"/>
      <c r="J464" s="141"/>
      <c r="K464" s="793"/>
      <c r="L464" s="27"/>
      <c r="M464" s="1223"/>
      <c r="N464" s="61"/>
      <c r="O464" s="61"/>
    </row>
    <row r="465" spans="1:15" s="642" customFormat="1" x14ac:dyDescent="0.2">
      <c r="A465" s="788"/>
      <c r="B465" s="789"/>
      <c r="C465" s="790"/>
      <c r="D465" s="917"/>
      <c r="E465" s="148"/>
      <c r="F465" s="134"/>
      <c r="G465" s="135"/>
      <c r="H465" s="914"/>
      <c r="I465" s="145"/>
      <c r="J465" s="145"/>
      <c r="K465" s="794"/>
      <c r="L465" s="887"/>
      <c r="M465" s="1223"/>
      <c r="N465" s="61"/>
      <c r="O465" s="61"/>
    </row>
    <row r="466" spans="1:15" s="642" customFormat="1" x14ac:dyDescent="0.2">
      <c r="A466" s="99"/>
      <c r="B466" s="111"/>
      <c r="C466" s="111">
        <v>860</v>
      </c>
      <c r="D466" s="98"/>
      <c r="E466" s="128"/>
      <c r="F466" s="39"/>
      <c r="G466" s="39"/>
      <c r="H466" s="915" t="s">
        <v>50</v>
      </c>
      <c r="I466" s="611"/>
      <c r="J466" s="611"/>
      <c r="K466" s="916"/>
      <c r="L466" s="27"/>
      <c r="M466" s="1223"/>
      <c r="N466" s="61"/>
      <c r="O466" s="61"/>
    </row>
    <row r="467" spans="1:15" s="642" customFormat="1" x14ac:dyDescent="0.2">
      <c r="A467" s="99"/>
      <c r="B467" s="111"/>
      <c r="C467" s="111"/>
      <c r="D467" s="98"/>
      <c r="E467" s="128"/>
      <c r="F467" s="39"/>
      <c r="G467" s="39"/>
      <c r="H467" s="918" t="s">
        <v>43</v>
      </c>
      <c r="I467" s="48"/>
      <c r="J467" s="48"/>
      <c r="K467" s="205"/>
      <c r="L467" s="27"/>
      <c r="M467" s="1223"/>
      <c r="N467" s="61"/>
      <c r="O467" s="61"/>
    </row>
    <row r="468" spans="1:15" s="642" customFormat="1" x14ac:dyDescent="0.2">
      <c r="A468" s="99"/>
      <c r="B468" s="111"/>
      <c r="C468" s="111"/>
      <c r="D468" s="98"/>
      <c r="E468" s="128"/>
      <c r="F468" s="124">
        <v>50</v>
      </c>
      <c r="G468" s="95">
        <v>423</v>
      </c>
      <c r="H468" s="90" t="s">
        <v>759</v>
      </c>
      <c r="I468" s="160">
        <v>26000000</v>
      </c>
      <c r="J468" s="160"/>
      <c r="K468" s="160">
        <f>SUM(I468+J468)</f>
        <v>26000000</v>
      </c>
      <c r="L468" s="27"/>
      <c r="M468" s="1223"/>
      <c r="N468" s="61"/>
      <c r="O468" s="61"/>
    </row>
    <row r="469" spans="1:15" s="893" customFormat="1" x14ac:dyDescent="0.2">
      <c r="A469" s="99"/>
      <c r="B469" s="111"/>
      <c r="C469" s="111"/>
      <c r="D469" s="98"/>
      <c r="E469" s="128"/>
      <c r="F469" s="1"/>
      <c r="G469" s="1"/>
      <c r="H469" s="97" t="s">
        <v>757</v>
      </c>
      <c r="I469" s="162">
        <f>SUM(I468)</f>
        <v>26000000</v>
      </c>
      <c r="J469" s="162"/>
      <c r="K469" s="162">
        <f>SUM(I469:J469)</f>
        <v>26000000</v>
      </c>
      <c r="L469" s="27"/>
      <c r="M469" s="1224"/>
      <c r="N469" s="892"/>
      <c r="O469" s="892"/>
    </row>
    <row r="470" spans="1:15" s="642" customFormat="1" x14ac:dyDescent="0.2">
      <c r="A470" s="99"/>
      <c r="B470" s="787"/>
      <c r="C470" s="120"/>
      <c r="D470" s="919"/>
      <c r="E470" s="246"/>
      <c r="F470" s="41"/>
      <c r="G470" s="45" t="s">
        <v>39</v>
      </c>
      <c r="H470" s="90" t="s">
        <v>40</v>
      </c>
      <c r="I470" s="160">
        <f>SUM(I469)</f>
        <v>26000000</v>
      </c>
      <c r="J470" s="160"/>
      <c r="K470" s="160">
        <f>SUM(I470+J470)</f>
        <v>26000000</v>
      </c>
      <c r="L470" s="27"/>
      <c r="M470" s="1223"/>
      <c r="N470" s="61"/>
      <c r="O470" s="61"/>
    </row>
    <row r="471" spans="1:15" s="642" customFormat="1" x14ac:dyDescent="0.2">
      <c r="A471" s="101"/>
      <c r="B471" s="781"/>
      <c r="C471" s="121"/>
      <c r="D471" s="583"/>
      <c r="E471" s="177"/>
      <c r="F471" s="42"/>
      <c r="G471" s="43"/>
      <c r="H471" s="97" t="s">
        <v>361</v>
      </c>
      <c r="I471" s="162">
        <f>SUM(I470)</f>
        <v>26000000</v>
      </c>
      <c r="J471" s="162"/>
      <c r="K471" s="162">
        <f t="shared" ref="K471" si="36">SUM(K470)</f>
        <v>26000000</v>
      </c>
      <c r="L471" s="27"/>
      <c r="M471" s="1223"/>
      <c r="N471" s="61"/>
      <c r="O471" s="61"/>
    </row>
    <row r="472" spans="1:15" x14ac:dyDescent="0.2">
      <c r="A472" s="381"/>
      <c r="B472" s="382"/>
      <c r="C472" s="382"/>
      <c r="D472" s="360"/>
      <c r="E472" s="277"/>
      <c r="F472" s="354"/>
      <c r="G472" s="354"/>
      <c r="H472" s="347"/>
      <c r="I472" s="229"/>
      <c r="J472" s="229"/>
      <c r="K472" s="384"/>
      <c r="L472" s="361"/>
    </row>
    <row r="473" spans="1:15" s="642" customFormat="1" x14ac:dyDescent="0.2">
      <c r="A473" s="99"/>
      <c r="B473" s="111"/>
      <c r="C473" s="119"/>
      <c r="D473" s="94"/>
      <c r="E473" s="128"/>
      <c r="F473" s="1"/>
      <c r="G473" s="38"/>
      <c r="H473" s="136" t="s">
        <v>294</v>
      </c>
      <c r="I473" s="829"/>
      <c r="J473" s="829"/>
      <c r="K473" s="830"/>
      <c r="L473" s="27"/>
      <c r="M473" s="1223"/>
      <c r="N473" s="61"/>
      <c r="O473" s="61"/>
    </row>
    <row r="474" spans="1:15" s="642" customFormat="1" x14ac:dyDescent="0.2">
      <c r="A474" s="99"/>
      <c r="B474" s="111"/>
      <c r="C474" s="119"/>
      <c r="D474" s="94"/>
      <c r="E474" s="128" t="s">
        <v>295</v>
      </c>
      <c r="F474" s="1"/>
      <c r="G474" s="38"/>
      <c r="H474" s="489" t="s">
        <v>730</v>
      </c>
      <c r="I474" s="833"/>
      <c r="J474" s="833"/>
      <c r="K474" s="492"/>
      <c r="L474" s="27"/>
      <c r="M474" s="1223"/>
      <c r="N474" s="61"/>
      <c r="O474" s="61"/>
    </row>
    <row r="475" spans="1:15" s="642" customFormat="1" x14ac:dyDescent="0.2">
      <c r="A475" s="788"/>
      <c r="B475" s="789"/>
      <c r="C475" s="790"/>
      <c r="D475" s="917"/>
      <c r="E475" s="148"/>
      <c r="F475" s="134"/>
      <c r="G475" s="135"/>
      <c r="H475" s="495"/>
      <c r="I475" s="824"/>
      <c r="J475" s="824"/>
      <c r="K475" s="498"/>
      <c r="L475" s="887"/>
      <c r="M475" s="1223"/>
      <c r="N475" s="61"/>
      <c r="O475" s="61"/>
    </row>
    <row r="476" spans="1:15" s="896" customFormat="1" x14ac:dyDescent="0.2">
      <c r="A476" s="99"/>
      <c r="B476" s="111"/>
      <c r="C476" s="111">
        <v>860</v>
      </c>
      <c r="D476" s="98"/>
      <c r="E476" s="128"/>
      <c r="F476" s="39"/>
      <c r="G476" s="39"/>
      <c r="H476" s="915" t="s">
        <v>50</v>
      </c>
      <c r="I476" s="920"/>
      <c r="J476" s="920"/>
      <c r="K476" s="921"/>
      <c r="L476" s="27"/>
      <c r="M476" s="1225"/>
      <c r="N476" s="895"/>
      <c r="O476" s="895"/>
    </row>
    <row r="477" spans="1:15" s="642" customFormat="1" x14ac:dyDescent="0.2">
      <c r="A477" s="99"/>
      <c r="B477" s="111"/>
      <c r="C477" s="111"/>
      <c r="D477" s="98"/>
      <c r="E477" s="128"/>
      <c r="F477" s="39"/>
      <c r="G477" s="39"/>
      <c r="H477" s="918" t="s">
        <v>43</v>
      </c>
      <c r="I477" s="807"/>
      <c r="J477" s="807"/>
      <c r="K477" s="808"/>
      <c r="L477" s="27"/>
      <c r="M477" s="1223"/>
      <c r="N477" s="61"/>
      <c r="O477" s="61"/>
    </row>
    <row r="478" spans="1:15" s="642" customFormat="1" ht="22.5" x14ac:dyDescent="0.2">
      <c r="A478" s="101"/>
      <c r="B478" s="781"/>
      <c r="C478" s="121"/>
      <c r="D478" s="583"/>
      <c r="E478" s="177"/>
      <c r="F478" s="124">
        <v>51</v>
      </c>
      <c r="G478" s="500" t="s">
        <v>276</v>
      </c>
      <c r="H478" s="17" t="s">
        <v>393</v>
      </c>
      <c r="I478" s="501">
        <v>7550000</v>
      </c>
      <c r="J478" s="133"/>
      <c r="K478" s="133">
        <f>SUM(I478+J478)</f>
        <v>7550000</v>
      </c>
      <c r="L478" s="27"/>
      <c r="M478" s="1223"/>
      <c r="N478" s="61"/>
      <c r="O478" s="61"/>
    </row>
    <row r="479" spans="1:15" s="893" customFormat="1" x14ac:dyDescent="0.2">
      <c r="A479" s="95"/>
      <c r="B479" s="922"/>
      <c r="C479" s="124"/>
      <c r="D479" s="88"/>
      <c r="E479" s="154"/>
      <c r="F479" s="57"/>
      <c r="G479" s="923"/>
      <c r="H479" s="142" t="s">
        <v>376</v>
      </c>
      <c r="I479" s="243">
        <f>SUM(I478)</f>
        <v>7550000</v>
      </c>
      <c r="J479" s="243"/>
      <c r="K479" s="857">
        <f>SUM(I479:J479)</f>
        <v>7550000</v>
      </c>
      <c r="L479" s="27"/>
      <c r="M479" s="1224"/>
      <c r="N479" s="892"/>
      <c r="O479" s="892"/>
    </row>
    <row r="480" spans="1:15" s="642" customFormat="1" x14ac:dyDescent="0.2">
      <c r="A480" s="99"/>
      <c r="B480" s="111"/>
      <c r="C480" s="119"/>
      <c r="D480" s="94"/>
      <c r="E480" s="176"/>
      <c r="F480" s="1"/>
      <c r="G480" s="38" t="s">
        <v>39</v>
      </c>
      <c r="H480" s="90" t="s">
        <v>40</v>
      </c>
      <c r="I480" s="133">
        <f>SUM(I479)</f>
        <v>7550000</v>
      </c>
      <c r="J480" s="133"/>
      <c r="K480" s="133">
        <f>SUM(I480+J480)</f>
        <v>7550000</v>
      </c>
      <c r="L480" s="27"/>
      <c r="M480" s="1223"/>
      <c r="N480" s="61"/>
      <c r="O480" s="61"/>
    </row>
    <row r="481" spans="1:15" s="642" customFormat="1" x14ac:dyDescent="0.2">
      <c r="A481" s="101"/>
      <c r="B481" s="781"/>
      <c r="C481" s="121"/>
      <c r="D481" s="583"/>
      <c r="E481" s="177"/>
      <c r="F481" s="42"/>
      <c r="G481" s="43"/>
      <c r="H481" s="97" t="s">
        <v>361</v>
      </c>
      <c r="I481" s="170">
        <f>SUM(I480)</f>
        <v>7550000</v>
      </c>
      <c r="J481" s="170"/>
      <c r="K481" s="170">
        <f t="shared" ref="K481" si="37">SUM(K480)</f>
        <v>7550000</v>
      </c>
      <c r="L481" s="27"/>
      <c r="M481" s="1223"/>
      <c r="N481" s="61"/>
      <c r="O481" s="61"/>
    </row>
    <row r="482" spans="1:15" x14ac:dyDescent="0.2">
      <c r="A482" s="103"/>
      <c r="B482" s="113"/>
      <c r="C482" s="122"/>
      <c r="D482" s="103"/>
      <c r="E482" s="250"/>
      <c r="F482" s="46"/>
      <c r="G482" s="64"/>
      <c r="H482" s="55"/>
      <c r="I482" s="59"/>
      <c r="J482" s="59"/>
      <c r="K482" s="373"/>
    </row>
    <row r="483" spans="1:15" s="642" customFormat="1" x14ac:dyDescent="0.2">
      <c r="A483" s="94"/>
      <c r="B483" s="112"/>
      <c r="C483" s="111">
        <v>860</v>
      </c>
      <c r="D483" s="98"/>
      <c r="E483" s="128">
        <v>1201</v>
      </c>
      <c r="F483" s="1"/>
      <c r="G483" s="1"/>
      <c r="H483" s="167" t="s">
        <v>707</v>
      </c>
      <c r="I483" s="158"/>
      <c r="J483" s="158"/>
      <c r="K483" s="159"/>
      <c r="L483" s="27"/>
      <c r="M483" s="1223"/>
      <c r="N483" s="61"/>
      <c r="O483" s="61"/>
    </row>
    <row r="484" spans="1:15" s="642" customFormat="1" x14ac:dyDescent="0.2">
      <c r="A484" s="94"/>
      <c r="B484" s="112"/>
      <c r="C484" s="111"/>
      <c r="D484" s="98"/>
      <c r="E484" s="128"/>
      <c r="F484" s="924" t="s">
        <v>1008</v>
      </c>
      <c r="G484" s="925">
        <v>424</v>
      </c>
      <c r="H484" s="174" t="s">
        <v>826</v>
      </c>
      <c r="I484" s="241">
        <v>1000000</v>
      </c>
      <c r="J484" s="188"/>
      <c r="K484" s="530">
        <f>SUM(I484:J484)</f>
        <v>1000000</v>
      </c>
      <c r="L484" s="27"/>
      <c r="M484" s="1223"/>
      <c r="N484" s="61"/>
      <c r="O484" s="61"/>
    </row>
    <row r="485" spans="1:15" s="642" customFormat="1" x14ac:dyDescent="0.2">
      <c r="A485" s="94"/>
      <c r="B485" s="112"/>
      <c r="C485" s="111"/>
      <c r="D485" s="98"/>
      <c r="E485" s="128"/>
      <c r="F485" s="95">
        <v>52</v>
      </c>
      <c r="G485" s="95">
        <v>424</v>
      </c>
      <c r="H485" s="174" t="s">
        <v>827</v>
      </c>
      <c r="I485" s="187">
        <v>1000000</v>
      </c>
      <c r="J485" s="188"/>
      <c r="K485" s="530">
        <f t="shared" ref="K485:K489" si="38">SUM(I485:J485)</f>
        <v>1000000</v>
      </c>
      <c r="L485" s="27"/>
      <c r="M485" s="1223"/>
      <c r="N485" s="61"/>
      <c r="O485" s="61"/>
    </row>
    <row r="486" spans="1:15" s="642" customFormat="1" x14ac:dyDescent="0.2">
      <c r="A486" s="94"/>
      <c r="B486" s="112"/>
      <c r="C486" s="111"/>
      <c r="D486" s="98"/>
      <c r="E486" s="128"/>
      <c r="F486" s="95">
        <v>53</v>
      </c>
      <c r="G486" s="95">
        <v>424</v>
      </c>
      <c r="H486" s="174" t="s">
        <v>845</v>
      </c>
      <c r="I486" s="187">
        <v>600000</v>
      </c>
      <c r="J486" s="188"/>
      <c r="K486" s="530">
        <f t="shared" si="38"/>
        <v>600000</v>
      </c>
      <c r="L486" s="27"/>
      <c r="M486" s="1223"/>
      <c r="N486" s="61"/>
      <c r="O486" s="61"/>
    </row>
    <row r="487" spans="1:15" s="642" customFormat="1" ht="22.5" x14ac:dyDescent="0.2">
      <c r="A487" s="94"/>
      <c r="B487" s="112"/>
      <c r="C487" s="111"/>
      <c r="D487" s="98"/>
      <c r="E487" s="128"/>
      <c r="F487" s="95" t="s">
        <v>963</v>
      </c>
      <c r="G487" s="95">
        <v>424</v>
      </c>
      <c r="H487" s="531" t="s">
        <v>964</v>
      </c>
      <c r="I487" s="187">
        <v>600000</v>
      </c>
      <c r="J487" s="188"/>
      <c r="K487" s="530">
        <f t="shared" si="38"/>
        <v>600000</v>
      </c>
      <c r="L487" s="27"/>
      <c r="M487" s="1223"/>
      <c r="N487" s="61"/>
      <c r="O487" s="61"/>
    </row>
    <row r="488" spans="1:15" s="642" customFormat="1" x14ac:dyDescent="0.2">
      <c r="A488" s="94"/>
      <c r="B488" s="112"/>
      <c r="C488" s="111"/>
      <c r="D488" s="98"/>
      <c r="E488" s="128"/>
      <c r="F488" s="95" t="s">
        <v>1051</v>
      </c>
      <c r="G488" s="95">
        <v>424</v>
      </c>
      <c r="H488" s="531" t="s">
        <v>1052</v>
      </c>
      <c r="I488" s="187">
        <v>1100000</v>
      </c>
      <c r="J488" s="188"/>
      <c r="K488" s="530">
        <f t="shared" si="38"/>
        <v>1100000</v>
      </c>
      <c r="L488" s="27"/>
      <c r="M488" s="1223"/>
      <c r="N488" s="61"/>
      <c r="O488" s="61"/>
    </row>
    <row r="489" spans="1:15" s="642" customFormat="1" ht="22.5" x14ac:dyDescent="0.2">
      <c r="A489" s="94"/>
      <c r="B489" s="112"/>
      <c r="C489" s="111"/>
      <c r="D489" s="98"/>
      <c r="E489" s="128"/>
      <c r="F489" s="95">
        <v>54</v>
      </c>
      <c r="G489" s="95">
        <v>424</v>
      </c>
      <c r="H489" s="531" t="s">
        <v>828</v>
      </c>
      <c r="I489" s="187">
        <v>8000000</v>
      </c>
      <c r="J489" s="188"/>
      <c r="K489" s="530">
        <f t="shared" si="38"/>
        <v>8000000</v>
      </c>
      <c r="L489" s="27"/>
      <c r="M489" s="1223"/>
      <c r="N489" s="61"/>
      <c r="O489" s="61"/>
    </row>
    <row r="490" spans="1:15" s="642" customFormat="1" x14ac:dyDescent="0.2">
      <c r="A490" s="583"/>
      <c r="B490" s="926"/>
      <c r="C490" s="781"/>
      <c r="D490" s="780"/>
      <c r="E490" s="177"/>
      <c r="F490" s="42"/>
      <c r="G490" s="42"/>
      <c r="H490" s="153" t="s">
        <v>708</v>
      </c>
      <c r="I490" s="162">
        <f>SUM(I484:I489)</f>
        <v>12300000</v>
      </c>
      <c r="J490" s="162"/>
      <c r="K490" s="162">
        <f>SUM(I490:J490)</f>
        <v>12300000</v>
      </c>
      <c r="L490" s="27"/>
      <c r="M490" s="1223"/>
      <c r="N490" s="61"/>
      <c r="O490" s="61"/>
    </row>
    <row r="491" spans="1:15" s="642" customFormat="1" x14ac:dyDescent="0.2">
      <c r="A491" s="94"/>
      <c r="B491" s="112"/>
      <c r="C491" s="111"/>
      <c r="D491" s="98"/>
      <c r="E491" s="176"/>
      <c r="F491" s="1"/>
      <c r="G491" s="38" t="s">
        <v>39</v>
      </c>
      <c r="H491" s="90" t="s">
        <v>40</v>
      </c>
      <c r="I491" s="160">
        <f>SUM(I490)</f>
        <v>12300000</v>
      </c>
      <c r="J491" s="160"/>
      <c r="K491" s="160">
        <f>SUM(I491+J491)</f>
        <v>12300000</v>
      </c>
      <c r="L491" s="27"/>
      <c r="M491" s="1223"/>
      <c r="N491" s="61"/>
      <c r="O491" s="61"/>
    </row>
    <row r="492" spans="1:15" s="642" customFormat="1" x14ac:dyDescent="0.2">
      <c r="A492" s="94"/>
      <c r="B492" s="112"/>
      <c r="C492" s="111"/>
      <c r="D492" s="98"/>
      <c r="E492" s="176"/>
      <c r="F492" s="1"/>
      <c r="G492" s="1"/>
      <c r="H492" s="97" t="s">
        <v>361</v>
      </c>
      <c r="I492" s="162">
        <f>SUM(I491)</f>
        <v>12300000</v>
      </c>
      <c r="J492" s="162"/>
      <c r="K492" s="162">
        <f t="shared" ref="K492" si="39">SUM(K491)</f>
        <v>12300000</v>
      </c>
      <c r="L492" s="27"/>
      <c r="M492" s="1223"/>
      <c r="N492" s="61"/>
      <c r="O492" s="61"/>
    </row>
    <row r="493" spans="1:15" x14ac:dyDescent="0.2">
      <c r="A493" s="106"/>
      <c r="B493" s="375"/>
      <c r="C493" s="113"/>
      <c r="D493" s="359"/>
      <c r="E493" s="250"/>
      <c r="F493" s="46"/>
      <c r="G493" s="46"/>
      <c r="H493" s="68"/>
      <c r="I493" s="66"/>
      <c r="J493" s="66"/>
      <c r="K493" s="203"/>
    </row>
    <row r="494" spans="1:15" s="642" customFormat="1" ht="14.25" customHeight="1" x14ac:dyDescent="0.2">
      <c r="A494" s="100"/>
      <c r="B494" s="111"/>
      <c r="C494" s="119"/>
      <c r="D494" s="99"/>
      <c r="E494" s="176"/>
      <c r="F494" s="1"/>
      <c r="G494" s="1"/>
      <c r="H494" s="138" t="s">
        <v>52</v>
      </c>
      <c r="I494" s="163"/>
      <c r="J494" s="163"/>
      <c r="K494" s="164"/>
      <c r="L494" s="27"/>
      <c r="M494" s="1223"/>
      <c r="N494" s="61"/>
      <c r="O494" s="61"/>
    </row>
    <row r="495" spans="1:15" s="642" customFormat="1" ht="14.25" customHeight="1" x14ac:dyDescent="0.2">
      <c r="A495" s="99"/>
      <c r="B495" s="111"/>
      <c r="C495" s="119"/>
      <c r="D495" s="99"/>
      <c r="E495" s="176"/>
      <c r="F495" s="1"/>
      <c r="G495" s="38" t="s">
        <v>39</v>
      </c>
      <c r="H495" s="90" t="s">
        <v>40</v>
      </c>
      <c r="I495" s="160">
        <f>SUM(I470+I480+I491)</f>
        <v>45850000</v>
      </c>
      <c r="J495" s="160"/>
      <c r="K495" s="160">
        <f>SUM(I495+J495)</f>
        <v>45850000</v>
      </c>
      <c r="L495" s="27"/>
      <c r="M495" s="1223"/>
      <c r="N495" s="61"/>
      <c r="O495" s="61"/>
    </row>
    <row r="496" spans="1:15" s="642" customFormat="1" ht="14.25" customHeight="1" x14ac:dyDescent="0.2">
      <c r="A496" s="101"/>
      <c r="B496" s="781"/>
      <c r="C496" s="121"/>
      <c r="D496" s="101"/>
      <c r="E496" s="177"/>
      <c r="F496" s="42"/>
      <c r="G496" s="43"/>
      <c r="H496" s="97" t="s">
        <v>53</v>
      </c>
      <c r="I496" s="162">
        <f>SUM(I495)</f>
        <v>45850000</v>
      </c>
      <c r="J496" s="162"/>
      <c r="K496" s="162">
        <f t="shared" ref="K496" si="40">SUM(K495)</f>
        <v>45850000</v>
      </c>
      <c r="L496" s="27"/>
      <c r="M496" s="1223"/>
      <c r="N496" s="61"/>
      <c r="O496" s="61"/>
    </row>
    <row r="497" spans="1:15" ht="14.25" customHeight="1" x14ac:dyDescent="0.2">
      <c r="A497" s="103"/>
      <c r="B497" s="113"/>
      <c r="C497" s="122"/>
      <c r="D497" s="103"/>
      <c r="E497" s="250"/>
      <c r="F497" s="46"/>
      <c r="G497" s="64"/>
      <c r="H497" s="55"/>
      <c r="I497" s="59"/>
      <c r="J497" s="59"/>
      <c r="K497" s="373"/>
    </row>
    <row r="498" spans="1:15" s="642" customFormat="1" x14ac:dyDescent="0.2">
      <c r="A498" s="788"/>
      <c r="B498" s="789"/>
      <c r="C498" s="790"/>
      <c r="D498" s="493" t="s">
        <v>298</v>
      </c>
      <c r="E498" s="767"/>
      <c r="F498" s="134"/>
      <c r="G498" s="135"/>
      <c r="H498" s="220" t="s">
        <v>299</v>
      </c>
      <c r="I498" s="817">
        <f>SUM(I509+I517)</f>
        <v>75002000</v>
      </c>
      <c r="J498" s="817"/>
      <c r="K498" s="818">
        <f t="shared" ref="K498" si="41">SUM(K520)</f>
        <v>75002000</v>
      </c>
      <c r="L498" s="887"/>
      <c r="M498" s="1223"/>
      <c r="N498" s="61"/>
      <c r="O498" s="61"/>
    </row>
    <row r="499" spans="1:15" s="642" customFormat="1" x14ac:dyDescent="0.2">
      <c r="A499" s="788"/>
      <c r="B499" s="789"/>
      <c r="C499" s="790"/>
      <c r="D499" s="493"/>
      <c r="E499" s="767"/>
      <c r="F499" s="134"/>
      <c r="G499" s="135"/>
      <c r="H499" s="144"/>
      <c r="I499" s="865"/>
      <c r="J499" s="865"/>
      <c r="K499" s="866"/>
      <c r="L499" s="887"/>
      <c r="M499" s="1223"/>
      <c r="N499" s="61"/>
      <c r="O499" s="61"/>
    </row>
    <row r="500" spans="1:15" s="642" customFormat="1" x14ac:dyDescent="0.2">
      <c r="A500" s="99"/>
      <c r="B500" s="111"/>
      <c r="C500" s="119"/>
      <c r="D500" s="99"/>
      <c r="E500" s="176"/>
      <c r="F500" s="1"/>
      <c r="G500" s="38"/>
      <c r="H500" s="136" t="s">
        <v>334</v>
      </c>
      <c r="I500" s="829"/>
      <c r="J500" s="829"/>
      <c r="K500" s="830"/>
      <c r="L500" s="27"/>
      <c r="M500" s="1223"/>
      <c r="N500" s="61"/>
      <c r="O500" s="61"/>
    </row>
    <row r="501" spans="1:15" s="642" customFormat="1" ht="22.5" x14ac:dyDescent="0.2">
      <c r="A501" s="99"/>
      <c r="B501" s="111"/>
      <c r="C501" s="119"/>
      <c r="D501" s="98"/>
      <c r="E501" s="128" t="s">
        <v>327</v>
      </c>
      <c r="F501" s="1"/>
      <c r="G501" s="40"/>
      <c r="H501" s="913" t="s">
        <v>328</v>
      </c>
      <c r="I501" s="833"/>
      <c r="J501" s="833"/>
      <c r="K501" s="492"/>
      <c r="L501" s="27"/>
      <c r="M501" s="1223"/>
      <c r="N501" s="61"/>
      <c r="O501" s="61"/>
    </row>
    <row r="502" spans="1:15" s="893" customFormat="1" x14ac:dyDescent="0.2">
      <c r="A502" s="102"/>
      <c r="B502" s="890"/>
      <c r="C502" s="116"/>
      <c r="D502" s="125"/>
      <c r="E502" s="126"/>
      <c r="F502" s="37"/>
      <c r="G502" s="28"/>
      <c r="H502" s="51"/>
      <c r="I502" s="31"/>
      <c r="J502" s="31"/>
      <c r="K502" s="197"/>
      <c r="L502" s="27"/>
      <c r="M502" s="1224"/>
      <c r="N502" s="892"/>
      <c r="O502" s="892"/>
    </row>
    <row r="503" spans="1:15" s="893" customFormat="1" x14ac:dyDescent="0.2">
      <c r="A503" s="99"/>
      <c r="B503" s="111"/>
      <c r="C503" s="111">
        <v>810</v>
      </c>
      <c r="D503" s="98"/>
      <c r="E503" s="128"/>
      <c r="F503" s="1"/>
      <c r="G503" s="39"/>
      <c r="H503" s="169" t="s">
        <v>54</v>
      </c>
      <c r="I503" s="920"/>
      <c r="J503" s="920"/>
      <c r="K503" s="921"/>
      <c r="L503" s="27"/>
      <c r="M503" s="1224"/>
      <c r="N503" s="892"/>
      <c r="O503" s="892"/>
    </row>
    <row r="504" spans="1:15" s="642" customFormat="1" ht="22.5" x14ac:dyDescent="0.2">
      <c r="A504" s="99"/>
      <c r="B504" s="111"/>
      <c r="C504" s="119"/>
      <c r="D504" s="99"/>
      <c r="E504" s="176"/>
      <c r="F504" s="124">
        <v>55</v>
      </c>
      <c r="G504" s="95">
        <v>481</v>
      </c>
      <c r="H504" s="18" t="s">
        <v>394</v>
      </c>
      <c r="I504" s="133">
        <v>70000000</v>
      </c>
      <c r="J504" s="133"/>
      <c r="K504" s="133">
        <f>SUM(I504+J504)</f>
        <v>70000000</v>
      </c>
      <c r="L504" s="27"/>
      <c r="M504" s="1223"/>
      <c r="N504" s="61"/>
      <c r="O504" s="61"/>
    </row>
    <row r="505" spans="1:15" s="642" customFormat="1" x14ac:dyDescent="0.2">
      <c r="A505" s="99"/>
      <c r="B505" s="111"/>
      <c r="C505" s="119"/>
      <c r="D505" s="99"/>
      <c r="E505" s="176"/>
      <c r="F505" s="124">
        <v>56</v>
      </c>
      <c r="G505" s="95">
        <v>481</v>
      </c>
      <c r="H505" s="18" t="s">
        <v>829</v>
      </c>
      <c r="I505" s="133">
        <v>1000</v>
      </c>
      <c r="J505" s="133"/>
      <c r="K505" s="133">
        <f>SUM(I505+J505)</f>
        <v>1000</v>
      </c>
      <c r="L505" s="27"/>
      <c r="M505" s="1223"/>
      <c r="N505" s="61"/>
      <c r="O505" s="61"/>
    </row>
    <row r="506" spans="1:15" s="642" customFormat="1" x14ac:dyDescent="0.2">
      <c r="A506" s="99"/>
      <c r="B506" s="111"/>
      <c r="C506" s="119"/>
      <c r="D506" s="99"/>
      <c r="E506" s="176"/>
      <c r="F506" s="124">
        <v>57</v>
      </c>
      <c r="G506" s="500">
        <v>481</v>
      </c>
      <c r="H506" s="18" t="s">
        <v>701</v>
      </c>
      <c r="I506" s="133">
        <v>5000000</v>
      </c>
      <c r="J506" s="133"/>
      <c r="K506" s="133">
        <f>SUM(I506+J506)</f>
        <v>5000000</v>
      </c>
      <c r="L506" s="27"/>
      <c r="M506" s="1223"/>
      <c r="N506" s="61"/>
      <c r="O506" s="61"/>
    </row>
    <row r="507" spans="1:15" s="642" customFormat="1" x14ac:dyDescent="0.2">
      <c r="A507" s="101"/>
      <c r="B507" s="781"/>
      <c r="C507" s="121"/>
      <c r="D507" s="101"/>
      <c r="E507" s="177"/>
      <c r="F507" s="42"/>
      <c r="G507" s="459"/>
      <c r="H507" s="97" t="s">
        <v>760</v>
      </c>
      <c r="I507" s="170">
        <f>SUM(I504:I506)</f>
        <v>75001000</v>
      </c>
      <c r="J507" s="170"/>
      <c r="K507" s="170">
        <f t="shared" ref="K507" si="42">SUM(K504:K506)</f>
        <v>75001000</v>
      </c>
      <c r="L507" s="27"/>
      <c r="M507" s="1223"/>
      <c r="N507" s="61"/>
      <c r="O507" s="61"/>
    </row>
    <row r="508" spans="1:15" s="642" customFormat="1" x14ac:dyDescent="0.2">
      <c r="A508" s="99"/>
      <c r="B508" s="111"/>
      <c r="C508" s="119"/>
      <c r="D508" s="99"/>
      <c r="E508" s="176"/>
      <c r="F508" s="1"/>
      <c r="G508" s="38" t="s">
        <v>39</v>
      </c>
      <c r="H508" s="90" t="s">
        <v>40</v>
      </c>
      <c r="I508" s="133">
        <f>SUM(I507)</f>
        <v>75001000</v>
      </c>
      <c r="J508" s="133"/>
      <c r="K508" s="133">
        <f>SUM(I508+J508)</f>
        <v>75001000</v>
      </c>
      <c r="L508" s="27"/>
      <c r="M508" s="1223"/>
      <c r="N508" s="61"/>
      <c r="O508" s="61"/>
    </row>
    <row r="509" spans="1:15" s="642" customFormat="1" x14ac:dyDescent="0.2">
      <c r="A509" s="101"/>
      <c r="B509" s="781"/>
      <c r="C509" s="121"/>
      <c r="D509" s="101"/>
      <c r="E509" s="177"/>
      <c r="F509" s="42"/>
      <c r="G509" s="43"/>
      <c r="H509" s="97" t="s">
        <v>361</v>
      </c>
      <c r="I509" s="170">
        <f>SUM(I508)</f>
        <v>75001000</v>
      </c>
      <c r="J509" s="170"/>
      <c r="K509" s="170">
        <f t="shared" ref="K509" si="43">SUM(K508)</f>
        <v>75001000</v>
      </c>
      <c r="L509" s="27"/>
      <c r="M509" s="1223"/>
      <c r="N509" s="61"/>
      <c r="O509" s="61"/>
    </row>
    <row r="510" spans="1:15" x14ac:dyDescent="0.2">
      <c r="A510" s="381"/>
      <c r="B510" s="382"/>
      <c r="C510" s="383"/>
      <c r="D510" s="381"/>
      <c r="E510" s="251"/>
      <c r="F510" s="54"/>
      <c r="G510" s="393"/>
      <c r="H510" s="347"/>
      <c r="I510" s="226"/>
      <c r="J510" s="226"/>
      <c r="K510" s="379"/>
      <c r="L510" s="361"/>
    </row>
    <row r="511" spans="1:15" x14ac:dyDescent="0.2">
      <c r="A511" s="103"/>
      <c r="B511" s="113"/>
      <c r="C511" s="119"/>
      <c r="D511" s="99"/>
      <c r="E511" s="128">
        <v>1301</v>
      </c>
      <c r="F511" s="1"/>
      <c r="G511" s="38"/>
      <c r="H511" s="271" t="s">
        <v>809</v>
      </c>
      <c r="I511" s="272"/>
      <c r="J511" s="272"/>
      <c r="K511" s="273"/>
    </row>
    <row r="512" spans="1:15" x14ac:dyDescent="0.2">
      <c r="A512" s="381"/>
      <c r="B512" s="382"/>
      <c r="C512" s="116"/>
      <c r="D512" s="102"/>
      <c r="E512" s="126"/>
      <c r="F512" s="37"/>
      <c r="G512" s="28"/>
      <c r="H512" s="51"/>
      <c r="I512" s="31"/>
      <c r="J512" s="31"/>
      <c r="K512" s="197"/>
    </row>
    <row r="513" spans="1:15" x14ac:dyDescent="0.2">
      <c r="A513" s="103"/>
      <c r="B513" s="113"/>
      <c r="C513" s="111">
        <v>810</v>
      </c>
      <c r="D513" s="98"/>
      <c r="E513" s="128"/>
      <c r="F513" s="1"/>
      <c r="G513" s="39"/>
      <c r="H513" s="169" t="s">
        <v>54</v>
      </c>
      <c r="I513" s="71"/>
      <c r="J513" s="71"/>
      <c r="K513" s="458"/>
    </row>
    <row r="514" spans="1:15" s="327" customFormat="1" ht="22.5" x14ac:dyDescent="0.2">
      <c r="A514" s="103"/>
      <c r="B514" s="113"/>
      <c r="C514" s="119"/>
      <c r="D514" s="99"/>
      <c r="E514" s="176"/>
      <c r="F514" s="124">
        <v>58</v>
      </c>
      <c r="G514" s="95">
        <v>481</v>
      </c>
      <c r="H514" s="17" t="s">
        <v>1096</v>
      </c>
      <c r="I514" s="133">
        <v>1000</v>
      </c>
      <c r="J514" s="133"/>
      <c r="K514" s="133">
        <f>SUM(I514:J514)</f>
        <v>1000</v>
      </c>
      <c r="L514" s="26"/>
      <c r="M514" s="1225"/>
      <c r="N514" s="326"/>
      <c r="O514" s="326"/>
    </row>
    <row r="515" spans="1:15" x14ac:dyDescent="0.2">
      <c r="A515" s="103"/>
      <c r="B515" s="113"/>
      <c r="C515" s="119"/>
      <c r="D515" s="99"/>
      <c r="E515" s="176"/>
      <c r="F515" s="1"/>
      <c r="G515" s="459"/>
      <c r="H515" s="97" t="s">
        <v>810</v>
      </c>
      <c r="I515" s="170">
        <f>SUM(I514)</f>
        <v>1000</v>
      </c>
      <c r="J515" s="170"/>
      <c r="K515" s="170">
        <f>SUM(I515:J515)</f>
        <v>1000</v>
      </c>
    </row>
    <row r="516" spans="1:15" x14ac:dyDescent="0.2">
      <c r="A516" s="369"/>
      <c r="B516" s="118"/>
      <c r="C516" s="120"/>
      <c r="D516" s="100"/>
      <c r="E516" s="246"/>
      <c r="F516" s="41"/>
      <c r="G516" s="38" t="s">
        <v>39</v>
      </c>
      <c r="H516" s="90" t="s">
        <v>40</v>
      </c>
      <c r="I516" s="133">
        <f>SUM(I515)</f>
        <v>1000</v>
      </c>
      <c r="J516" s="133"/>
      <c r="K516" s="133">
        <f>SUM(I516+J516)</f>
        <v>1000</v>
      </c>
    </row>
    <row r="517" spans="1:15" x14ac:dyDescent="0.2">
      <c r="A517" s="104"/>
      <c r="B517" s="114"/>
      <c r="C517" s="121"/>
      <c r="D517" s="101"/>
      <c r="E517" s="177"/>
      <c r="F517" s="42"/>
      <c r="G517" s="43"/>
      <c r="H517" s="97" t="s">
        <v>361</v>
      </c>
      <c r="I517" s="170">
        <f t="shared" ref="I517:K517" si="44">SUM(I516)</f>
        <v>1000</v>
      </c>
      <c r="J517" s="170"/>
      <c r="K517" s="170">
        <f t="shared" si="44"/>
        <v>1000</v>
      </c>
    </row>
    <row r="518" spans="1:15" s="642" customFormat="1" x14ac:dyDescent="0.2">
      <c r="A518" s="100"/>
      <c r="B518" s="111"/>
      <c r="C518" s="119"/>
      <c r="D518" s="99"/>
      <c r="E518" s="176"/>
      <c r="F518" s="1"/>
      <c r="G518" s="1"/>
      <c r="H518" s="138" t="s">
        <v>55</v>
      </c>
      <c r="I518" s="163"/>
      <c r="J518" s="163"/>
      <c r="K518" s="164"/>
      <c r="L518" s="27"/>
      <c r="M518" s="1223"/>
      <c r="N518" s="61"/>
      <c r="O518" s="61"/>
    </row>
    <row r="519" spans="1:15" s="642" customFormat="1" x14ac:dyDescent="0.2">
      <c r="A519" s="99"/>
      <c r="B519" s="111"/>
      <c r="C519" s="119"/>
      <c r="D519" s="99"/>
      <c r="E519" s="176"/>
      <c r="F519" s="1"/>
      <c r="G519" s="38" t="s">
        <v>39</v>
      </c>
      <c r="H519" s="90" t="s">
        <v>40</v>
      </c>
      <c r="I519" s="160">
        <f>SUM(I508+I516)</f>
        <v>75002000</v>
      </c>
      <c r="J519" s="160"/>
      <c r="K519" s="160">
        <f>SUM(I519+J519)</f>
        <v>75002000</v>
      </c>
      <c r="L519" s="27"/>
      <c r="M519" s="1223"/>
      <c r="N519" s="61"/>
      <c r="O519" s="61"/>
    </row>
    <row r="520" spans="1:15" s="642" customFormat="1" x14ac:dyDescent="0.2">
      <c r="A520" s="101"/>
      <c r="B520" s="781"/>
      <c r="C520" s="121"/>
      <c r="D520" s="101"/>
      <c r="E520" s="177"/>
      <c r="F520" s="42"/>
      <c r="G520" s="43"/>
      <c r="H520" s="97" t="s">
        <v>56</v>
      </c>
      <c r="I520" s="162">
        <f>SUM(I519)</f>
        <v>75002000</v>
      </c>
      <c r="J520" s="162"/>
      <c r="K520" s="162">
        <f t="shared" ref="K520" si="45">SUM(K519)</f>
        <v>75002000</v>
      </c>
      <c r="L520" s="27"/>
      <c r="M520" s="1223"/>
      <c r="N520" s="61"/>
      <c r="O520" s="61"/>
    </row>
    <row r="521" spans="1:15" s="642" customFormat="1" x14ac:dyDescent="0.2">
      <c r="A521" s="99"/>
      <c r="B521" s="111"/>
      <c r="C521" s="119"/>
      <c r="D521" s="99"/>
      <c r="E521" s="176"/>
      <c r="F521" s="1"/>
      <c r="G521" s="30"/>
      <c r="H521" s="29"/>
      <c r="I521" s="60"/>
      <c r="J521" s="60"/>
      <c r="K521" s="200"/>
      <c r="L521" s="27"/>
      <c r="M521" s="1223"/>
      <c r="N521" s="61"/>
      <c r="O521" s="61"/>
    </row>
    <row r="522" spans="1:15" s="642" customFormat="1" x14ac:dyDescent="0.2">
      <c r="A522" s="99"/>
      <c r="B522" s="111"/>
      <c r="C522" s="119"/>
      <c r="D522" s="99"/>
      <c r="E522" s="176"/>
      <c r="F522" s="1"/>
      <c r="G522" s="38" t="s">
        <v>39</v>
      </c>
      <c r="H522" s="90" t="s">
        <v>40</v>
      </c>
      <c r="I522" s="160">
        <f>SUM(I514+I507+I490+I478+I468+I455+I438+I432+I421+I397+I387+I381+I369+I361+I351)</f>
        <v>256007596.5</v>
      </c>
      <c r="J522" s="160"/>
      <c r="K522" s="160">
        <f>SUM(I522+J522)</f>
        <v>256007596.5</v>
      </c>
      <c r="L522" s="27"/>
      <c r="M522" s="1223"/>
      <c r="N522" s="61"/>
      <c r="O522" s="61"/>
    </row>
    <row r="523" spans="1:15" s="642" customFormat="1" x14ac:dyDescent="0.2">
      <c r="A523" s="99"/>
      <c r="B523" s="111"/>
      <c r="C523" s="119"/>
      <c r="D523" s="99"/>
      <c r="E523" s="176"/>
      <c r="F523" s="1"/>
      <c r="G523" s="38" t="s">
        <v>157</v>
      </c>
      <c r="H523" s="90" t="s">
        <v>354</v>
      </c>
      <c r="I523" s="160">
        <f>SUM(I422)</f>
        <v>305298.5</v>
      </c>
      <c r="J523" s="160"/>
      <c r="K523" s="160">
        <f>SUM(I523+J523)</f>
        <v>305298.5</v>
      </c>
      <c r="L523" s="27"/>
      <c r="M523" s="1223"/>
      <c r="N523" s="61"/>
      <c r="O523" s="61"/>
    </row>
    <row r="524" spans="1:15" s="642" customFormat="1" x14ac:dyDescent="0.2">
      <c r="A524" s="99"/>
      <c r="B524" s="111"/>
      <c r="C524" s="119"/>
      <c r="D524" s="99"/>
      <c r="E524" s="176"/>
      <c r="F524" s="42"/>
      <c r="G524" s="43"/>
      <c r="H524" s="927" t="s">
        <v>521</v>
      </c>
      <c r="I524" s="928">
        <f>SUM(I522:I523)</f>
        <v>256312895</v>
      </c>
      <c r="J524" s="928"/>
      <c r="K524" s="928">
        <f>SUM(K522:K523)</f>
        <v>256312895</v>
      </c>
      <c r="L524" s="27"/>
      <c r="M524" s="1223"/>
      <c r="N524" s="61"/>
      <c r="O524" s="61"/>
    </row>
    <row r="525" spans="1:15" x14ac:dyDescent="0.2">
      <c r="A525" s="103"/>
      <c r="B525" s="113"/>
      <c r="C525" s="122"/>
      <c r="D525" s="103"/>
      <c r="E525" s="250"/>
      <c r="F525" s="46"/>
      <c r="G525" s="67"/>
      <c r="H525" s="70"/>
      <c r="I525" s="229"/>
      <c r="J525" s="229"/>
      <c r="K525" s="384"/>
    </row>
    <row r="526" spans="1:15" s="810" customFormat="1" x14ac:dyDescent="0.2">
      <c r="A526" s="799" t="s">
        <v>961</v>
      </c>
      <c r="B526" s="800"/>
      <c r="C526" s="801"/>
      <c r="D526" s="802"/>
      <c r="E526" s="803"/>
      <c r="F526" s="804"/>
      <c r="G526" s="805"/>
      <c r="H526" s="806" t="s">
        <v>960</v>
      </c>
      <c r="I526" s="807"/>
      <c r="J526" s="807"/>
      <c r="K526" s="808"/>
      <c r="L526" s="695"/>
      <c r="M526" s="1223"/>
      <c r="N526" s="809"/>
      <c r="O526" s="809"/>
    </row>
    <row r="527" spans="1:15" s="810" customFormat="1" x14ac:dyDescent="0.2">
      <c r="A527" s="811"/>
      <c r="B527" s="812"/>
      <c r="C527" s="813"/>
      <c r="D527" s="493" t="s">
        <v>534</v>
      </c>
      <c r="E527" s="814"/>
      <c r="F527" s="494"/>
      <c r="G527" s="815"/>
      <c r="H527" s="816" t="s">
        <v>533</v>
      </c>
      <c r="I527" s="817">
        <f>SUM(I539)</f>
        <v>5850000</v>
      </c>
      <c r="J527" s="817"/>
      <c r="K527" s="818">
        <f>SUM(I527:J527)</f>
        <v>5850000</v>
      </c>
      <c r="L527" s="695"/>
      <c r="M527" s="1223"/>
      <c r="N527" s="809"/>
      <c r="O527" s="809"/>
    </row>
    <row r="528" spans="1:15" s="810" customFormat="1" x14ac:dyDescent="0.2">
      <c r="A528" s="811"/>
      <c r="B528" s="812"/>
      <c r="C528" s="813"/>
      <c r="D528" s="493"/>
      <c r="E528" s="814"/>
      <c r="F528" s="494"/>
      <c r="G528" s="815"/>
      <c r="H528" s="495"/>
      <c r="I528" s="865"/>
      <c r="J528" s="865"/>
      <c r="K528" s="866"/>
      <c r="L528" s="695"/>
      <c r="M528" s="1223"/>
      <c r="N528" s="809"/>
      <c r="O528" s="809"/>
    </row>
    <row r="529" spans="1:15" s="810" customFormat="1" x14ac:dyDescent="0.2">
      <c r="A529" s="825"/>
      <c r="B529" s="826"/>
      <c r="C529" s="827"/>
      <c r="D529" s="825"/>
      <c r="E529" s="828"/>
      <c r="F529" s="484"/>
      <c r="G529" s="805"/>
      <c r="H529" s="485" t="s">
        <v>294</v>
      </c>
      <c r="I529" s="829"/>
      <c r="J529" s="829"/>
      <c r="K529" s="830"/>
      <c r="L529" s="695"/>
      <c r="M529" s="1223"/>
      <c r="N529" s="809"/>
      <c r="O529" s="809"/>
    </row>
    <row r="530" spans="1:15" s="810" customFormat="1" x14ac:dyDescent="0.2">
      <c r="A530" s="825"/>
      <c r="B530" s="826"/>
      <c r="C530" s="827"/>
      <c r="D530" s="831"/>
      <c r="E530" s="483" t="s">
        <v>536</v>
      </c>
      <c r="F530" s="484"/>
      <c r="G530" s="832"/>
      <c r="H530" s="489" t="s">
        <v>537</v>
      </c>
      <c r="I530" s="833"/>
      <c r="J530" s="833"/>
      <c r="K530" s="492"/>
      <c r="L530" s="695"/>
      <c r="M530" s="1223"/>
      <c r="N530" s="809"/>
      <c r="O530" s="809"/>
    </row>
    <row r="531" spans="1:15" x14ac:dyDescent="0.2">
      <c r="A531" s="106"/>
      <c r="B531" s="375"/>
      <c r="C531" s="122"/>
      <c r="D531" s="106"/>
      <c r="E531" s="250"/>
      <c r="F531" s="46"/>
      <c r="G531" s="219"/>
      <c r="H531" s="311"/>
      <c r="I531" s="225"/>
      <c r="J531" s="225"/>
      <c r="K531" s="376"/>
    </row>
    <row r="532" spans="1:15" ht="22.5" x14ac:dyDescent="0.2">
      <c r="A532" s="103"/>
      <c r="B532" s="113"/>
      <c r="C532" s="826">
        <v>110</v>
      </c>
      <c r="D532" s="103"/>
      <c r="E532" s="250"/>
      <c r="F532" s="1"/>
      <c r="G532" s="38"/>
      <c r="H532" s="143" t="s">
        <v>370</v>
      </c>
      <c r="I532" s="467"/>
      <c r="J532" s="467"/>
      <c r="K532" s="468"/>
    </row>
    <row r="533" spans="1:15" x14ac:dyDescent="0.2">
      <c r="A533" s="103"/>
      <c r="B533" s="113"/>
      <c r="C533" s="113"/>
      <c r="D533" s="362"/>
      <c r="E533" s="213"/>
      <c r="F533" s="1"/>
      <c r="G533" s="39"/>
      <c r="H533" s="44"/>
      <c r="I533" s="48"/>
      <c r="J533" s="48"/>
      <c r="K533" s="205"/>
    </row>
    <row r="534" spans="1:15" x14ac:dyDescent="0.2">
      <c r="A534" s="103"/>
      <c r="B534" s="113"/>
      <c r="C534" s="122"/>
      <c r="D534" s="103"/>
      <c r="E534" s="250"/>
      <c r="F534" s="124" t="s">
        <v>1009</v>
      </c>
      <c r="G534" s="95">
        <v>416</v>
      </c>
      <c r="H534" s="89" t="s">
        <v>6</v>
      </c>
      <c r="I534" s="1275">
        <v>550000</v>
      </c>
      <c r="J534" s="160"/>
      <c r="K534" s="160">
        <f t="shared" ref="K534:K535" si="46">SUM(I534+J534)</f>
        <v>550000</v>
      </c>
    </row>
    <row r="535" spans="1:15" x14ac:dyDescent="0.2">
      <c r="A535" s="103"/>
      <c r="B535" s="113"/>
      <c r="C535" s="122"/>
      <c r="D535" s="103"/>
      <c r="E535" s="250"/>
      <c r="F535" s="124" t="s">
        <v>1010</v>
      </c>
      <c r="G535" s="95">
        <v>423</v>
      </c>
      <c r="H535" s="89" t="s">
        <v>9</v>
      </c>
      <c r="I535" s="1275">
        <v>5300000</v>
      </c>
      <c r="J535" s="160"/>
      <c r="K535" s="160">
        <f t="shared" si="46"/>
        <v>5300000</v>
      </c>
    </row>
    <row r="536" spans="1:15" x14ac:dyDescent="0.2">
      <c r="A536" s="103"/>
      <c r="B536" s="113"/>
      <c r="C536" s="122"/>
      <c r="D536" s="103"/>
      <c r="E536" s="250"/>
      <c r="F536" s="42"/>
      <c r="G536" s="42"/>
      <c r="H536" s="142" t="s">
        <v>790</v>
      </c>
      <c r="I536" s="210">
        <f>SUM(I534:I535)</f>
        <v>5850000</v>
      </c>
      <c r="J536" s="210"/>
      <c r="K536" s="211">
        <f>SUM(I536:J536)</f>
        <v>5850000</v>
      </c>
    </row>
    <row r="537" spans="1:15" s="642" customFormat="1" x14ac:dyDescent="0.2">
      <c r="A537" s="99"/>
      <c r="B537" s="111"/>
      <c r="C537" s="119"/>
      <c r="D537" s="99"/>
      <c r="E537" s="176"/>
      <c r="F537" s="1"/>
      <c r="G537" s="1"/>
      <c r="H537" s="138" t="s">
        <v>38</v>
      </c>
      <c r="I537" s="163"/>
      <c r="J537" s="163"/>
      <c r="K537" s="164"/>
      <c r="L537" s="27"/>
      <c r="M537" s="1223"/>
      <c r="N537" s="61"/>
      <c r="O537" s="61"/>
    </row>
    <row r="538" spans="1:15" s="642" customFormat="1" x14ac:dyDescent="0.2">
      <c r="A538" s="99"/>
      <c r="B538" s="111"/>
      <c r="C538" s="119"/>
      <c r="D538" s="99"/>
      <c r="E538" s="176"/>
      <c r="F538" s="1"/>
      <c r="G538" s="38" t="s">
        <v>39</v>
      </c>
      <c r="H538" s="90" t="s">
        <v>40</v>
      </c>
      <c r="I538" s="160">
        <f>SUM(I536)</f>
        <v>5850000</v>
      </c>
      <c r="J538" s="160"/>
      <c r="K538" s="160">
        <f>SUM(I538+J538)</f>
        <v>5850000</v>
      </c>
      <c r="L538" s="27"/>
      <c r="M538" s="1223"/>
      <c r="N538" s="61"/>
      <c r="O538" s="61"/>
    </row>
    <row r="539" spans="1:15" s="642" customFormat="1" x14ac:dyDescent="0.2">
      <c r="A539" s="99"/>
      <c r="B539" s="111"/>
      <c r="C539" s="119"/>
      <c r="D539" s="99"/>
      <c r="E539" s="176"/>
      <c r="F539" s="42"/>
      <c r="G539" s="43"/>
      <c r="H539" s="96" t="s">
        <v>41</v>
      </c>
      <c r="I539" s="161">
        <f>SUM(I538)</f>
        <v>5850000</v>
      </c>
      <c r="J539" s="161"/>
      <c r="K539" s="161">
        <f t="shared" ref="K539" si="47">SUM(K538)</f>
        <v>5850000</v>
      </c>
      <c r="L539" s="27"/>
      <c r="M539" s="1223"/>
      <c r="N539" s="61"/>
      <c r="O539" s="61"/>
    </row>
    <row r="540" spans="1:15" x14ac:dyDescent="0.2">
      <c r="A540" s="103"/>
      <c r="B540" s="113"/>
      <c r="C540" s="122"/>
      <c r="D540" s="103"/>
      <c r="E540" s="250"/>
      <c r="F540" s="46"/>
      <c r="G540" s="64"/>
      <c r="H540" s="55"/>
      <c r="I540" s="59"/>
      <c r="J540" s="59"/>
      <c r="K540" s="373"/>
    </row>
    <row r="541" spans="1:15" s="642" customFormat="1" x14ac:dyDescent="0.2">
      <c r="A541" s="99"/>
      <c r="B541" s="111"/>
      <c r="C541" s="119"/>
      <c r="D541" s="99"/>
      <c r="E541" s="176"/>
      <c r="F541" s="1"/>
      <c r="G541" s="38" t="s">
        <v>39</v>
      </c>
      <c r="H541" s="90" t="s">
        <v>40</v>
      </c>
      <c r="I541" s="160">
        <f>SUM(I539)</f>
        <v>5850000</v>
      </c>
      <c r="J541" s="160"/>
      <c r="K541" s="160">
        <f>SUM(I541+J541)</f>
        <v>5850000</v>
      </c>
      <c r="L541" s="27"/>
      <c r="M541" s="1223"/>
      <c r="N541" s="61"/>
      <c r="O541" s="61"/>
    </row>
    <row r="542" spans="1:15" s="642" customFormat="1" x14ac:dyDescent="0.2">
      <c r="A542" s="101"/>
      <c r="B542" s="781"/>
      <c r="C542" s="121"/>
      <c r="D542" s="101"/>
      <c r="E542" s="177"/>
      <c r="F542" s="42"/>
      <c r="G542" s="43"/>
      <c r="H542" s="927" t="s">
        <v>962</v>
      </c>
      <c r="I542" s="928">
        <f>SUM(I541:I541)</f>
        <v>5850000</v>
      </c>
      <c r="J542" s="928"/>
      <c r="K542" s="928">
        <f>SUM(K541:K541)</f>
        <v>5850000</v>
      </c>
      <c r="L542" s="27"/>
      <c r="M542" s="1223"/>
      <c r="N542" s="61"/>
      <c r="O542" s="61"/>
    </row>
    <row r="543" spans="1:15" x14ac:dyDescent="0.2">
      <c r="A543" s="103"/>
      <c r="B543" s="113"/>
      <c r="C543" s="122"/>
      <c r="D543" s="103"/>
      <c r="E543" s="250"/>
      <c r="F543" s="46"/>
      <c r="G543" s="64"/>
      <c r="H543" s="147"/>
      <c r="I543" s="224"/>
      <c r="J543" s="224"/>
      <c r="K543" s="378"/>
    </row>
    <row r="544" spans="1:15" s="642" customFormat="1" x14ac:dyDescent="0.2">
      <c r="A544" s="929" t="s">
        <v>513</v>
      </c>
      <c r="B544" s="930"/>
      <c r="C544" s="931"/>
      <c r="D544" s="932"/>
      <c r="E544" s="933"/>
      <c r="F544" s="934"/>
      <c r="G544" s="38"/>
      <c r="H544" s="935" t="s">
        <v>58</v>
      </c>
      <c r="I544" s="936"/>
      <c r="J544" s="936"/>
      <c r="K544" s="937"/>
      <c r="L544" s="27"/>
      <c r="M544" s="1223"/>
      <c r="N544" s="61"/>
      <c r="O544" s="61"/>
    </row>
    <row r="545" spans="1:15" s="642" customFormat="1" x14ac:dyDescent="0.2">
      <c r="A545" s="788"/>
      <c r="B545" s="789"/>
      <c r="C545" s="790"/>
      <c r="D545" s="148" t="s">
        <v>296</v>
      </c>
      <c r="E545" s="767"/>
      <c r="F545" s="134"/>
      <c r="G545" s="135"/>
      <c r="H545" s="220" t="s">
        <v>535</v>
      </c>
      <c r="I545" s="221">
        <f>SUM(I580+I602+I588+I595+I611)</f>
        <v>444204943.51999998</v>
      </c>
      <c r="J545" s="221"/>
      <c r="K545" s="222">
        <f>SUM(I545:J545)</f>
        <v>444204943.51999998</v>
      </c>
      <c r="L545" s="887"/>
      <c r="M545" s="1223"/>
      <c r="N545" s="61"/>
      <c r="O545" s="61"/>
    </row>
    <row r="546" spans="1:15" s="642" customFormat="1" x14ac:dyDescent="0.2">
      <c r="A546" s="938"/>
      <c r="B546" s="939"/>
      <c r="C546" s="940"/>
      <c r="D546" s="941"/>
      <c r="E546" s="942"/>
      <c r="F546" s="943"/>
      <c r="G546" s="944"/>
      <c r="H546" s="945"/>
      <c r="I546" s="946"/>
      <c r="J546" s="946"/>
      <c r="K546" s="947"/>
      <c r="L546" s="887"/>
      <c r="M546" s="1223"/>
      <c r="N546" s="61"/>
      <c r="O546" s="61"/>
    </row>
    <row r="547" spans="1:15" s="642" customFormat="1" x14ac:dyDescent="0.2">
      <c r="A547" s="100"/>
      <c r="B547" s="787"/>
      <c r="C547" s="120"/>
      <c r="D547" s="100"/>
      <c r="E547" s="246"/>
      <c r="F547" s="41"/>
      <c r="G547" s="45"/>
      <c r="H547" s="136" t="s">
        <v>334</v>
      </c>
      <c r="I547" s="139"/>
      <c r="J547" s="139"/>
      <c r="K547" s="140"/>
      <c r="L547" s="27"/>
      <c r="M547" s="1223"/>
      <c r="N547" s="61"/>
      <c r="O547" s="61"/>
    </row>
    <row r="548" spans="1:15" s="749" customFormat="1" ht="19.5" customHeight="1" x14ac:dyDescent="0.2">
      <c r="A548" s="99"/>
      <c r="B548" s="111"/>
      <c r="C548" s="119"/>
      <c r="D548" s="98"/>
      <c r="E548" s="128" t="s">
        <v>323</v>
      </c>
      <c r="F548" s="1"/>
      <c r="G548" s="40"/>
      <c r="H548" s="137" t="s">
        <v>324</v>
      </c>
      <c r="I548" s="141"/>
      <c r="J548" s="141"/>
      <c r="K548" s="793"/>
      <c r="L548" s="27"/>
      <c r="M548" s="1223"/>
      <c r="N548" s="748"/>
      <c r="O548" s="748"/>
    </row>
    <row r="549" spans="1:15" s="893" customFormat="1" x14ac:dyDescent="0.2">
      <c r="A549" s="102"/>
      <c r="B549" s="890"/>
      <c r="C549" s="116"/>
      <c r="D549" s="125"/>
      <c r="E549" s="126"/>
      <c r="F549" s="37"/>
      <c r="G549" s="28"/>
      <c r="H549" s="29"/>
      <c r="I549" s="62"/>
      <c r="J549" s="62"/>
      <c r="K549" s="288"/>
      <c r="L549" s="62"/>
      <c r="M549" s="1224"/>
      <c r="N549" s="892"/>
      <c r="O549" s="892"/>
    </row>
    <row r="550" spans="1:15" s="893" customFormat="1" x14ac:dyDescent="0.2">
      <c r="A550" s="99"/>
      <c r="B550" s="948"/>
      <c r="C550" s="111">
        <v>130</v>
      </c>
      <c r="D550" s="98"/>
      <c r="E550" s="128"/>
      <c r="F550" s="1"/>
      <c r="G550" s="39"/>
      <c r="H550" s="138" t="s">
        <v>59</v>
      </c>
      <c r="I550" s="611"/>
      <c r="J550" s="611"/>
      <c r="K550" s="916"/>
      <c r="L550" s="27"/>
      <c r="M550" s="1224"/>
      <c r="N550" s="892"/>
      <c r="O550" s="892"/>
    </row>
    <row r="551" spans="1:15" s="642" customFormat="1" x14ac:dyDescent="0.2">
      <c r="A551" s="99"/>
      <c r="B551" s="948"/>
      <c r="C551" s="111"/>
      <c r="D551" s="98"/>
      <c r="E551" s="128"/>
      <c r="F551" s="1"/>
      <c r="G551" s="39"/>
      <c r="H551" s="44"/>
      <c r="I551" s="611"/>
      <c r="J551" s="611"/>
      <c r="K551" s="916"/>
      <c r="L551" s="27"/>
      <c r="M551" s="1223"/>
      <c r="N551" s="61"/>
      <c r="O551" s="61"/>
    </row>
    <row r="552" spans="1:15" s="642" customFormat="1" x14ac:dyDescent="0.2">
      <c r="A552" s="99"/>
      <c r="B552" s="949"/>
      <c r="C552" s="119"/>
      <c r="D552" s="99"/>
      <c r="E552" s="176"/>
      <c r="F552" s="124">
        <v>59</v>
      </c>
      <c r="G552" s="95">
        <v>411</v>
      </c>
      <c r="H552" s="90" t="s">
        <v>2</v>
      </c>
      <c r="I552" s="1277">
        <f>88973707-115000-109000-500</f>
        <v>88749207</v>
      </c>
      <c r="J552" s="160"/>
      <c r="K552" s="160">
        <f t="shared" ref="K552:K574" si="48">SUM(I552+J552)</f>
        <v>88749207</v>
      </c>
      <c r="L552" s="26"/>
      <c r="M552" s="1223"/>
      <c r="N552" s="61"/>
      <c r="O552" s="61"/>
    </row>
    <row r="553" spans="1:15" s="951" customFormat="1" x14ac:dyDescent="0.2">
      <c r="A553" s="99"/>
      <c r="B553" s="111"/>
      <c r="C553" s="119"/>
      <c r="D553" s="99"/>
      <c r="E553" s="176"/>
      <c r="F553" s="124">
        <v>60</v>
      </c>
      <c r="G553" s="95">
        <v>412</v>
      </c>
      <c r="H553" s="89" t="s">
        <v>3</v>
      </c>
      <c r="I553" s="1277">
        <f>15926293-44000-100</f>
        <v>15882193</v>
      </c>
      <c r="J553" s="160"/>
      <c r="K553" s="160">
        <f t="shared" si="48"/>
        <v>15882193</v>
      </c>
      <c r="L553" s="26"/>
      <c r="M553" s="906"/>
      <c r="N553" s="950"/>
      <c r="O553" s="950"/>
    </row>
    <row r="554" spans="1:15" s="642" customFormat="1" x14ac:dyDescent="0.2">
      <c r="A554" s="99"/>
      <c r="B554" s="111"/>
      <c r="C554" s="119"/>
      <c r="D554" s="99"/>
      <c r="E554" s="176"/>
      <c r="F554" s="124">
        <v>61</v>
      </c>
      <c r="G554" s="95">
        <v>413</v>
      </c>
      <c r="H554" s="90" t="s">
        <v>34</v>
      </c>
      <c r="I554" s="160">
        <v>1500000</v>
      </c>
      <c r="J554" s="160"/>
      <c r="K554" s="160">
        <f t="shared" si="48"/>
        <v>1500000</v>
      </c>
      <c r="L554" s="26"/>
      <c r="M554" s="1223"/>
      <c r="N554" s="61"/>
      <c r="O554" s="61"/>
    </row>
    <row r="555" spans="1:15" s="642" customFormat="1" x14ac:dyDescent="0.2">
      <c r="A555" s="99"/>
      <c r="B555" s="111"/>
      <c r="C555" s="119"/>
      <c r="D555" s="99"/>
      <c r="E555" s="176"/>
      <c r="F555" s="124">
        <v>62</v>
      </c>
      <c r="G555" s="95">
        <v>414</v>
      </c>
      <c r="H555" s="90" t="s">
        <v>4</v>
      </c>
      <c r="I555" s="160">
        <v>4600000</v>
      </c>
      <c r="J555" s="160"/>
      <c r="K555" s="160">
        <f t="shared" si="48"/>
        <v>4600000</v>
      </c>
      <c r="L555" s="26"/>
      <c r="M555" s="1223"/>
      <c r="N555" s="61"/>
      <c r="O555" s="61"/>
    </row>
    <row r="556" spans="1:15" s="642" customFormat="1" x14ac:dyDescent="0.2">
      <c r="A556" s="99"/>
      <c r="B556" s="111"/>
      <c r="C556" s="119"/>
      <c r="D556" s="99"/>
      <c r="E556" s="176"/>
      <c r="F556" s="124">
        <v>63</v>
      </c>
      <c r="G556" s="95">
        <v>415</v>
      </c>
      <c r="H556" s="89" t="s">
        <v>5</v>
      </c>
      <c r="I556" s="160">
        <v>3200000</v>
      </c>
      <c r="J556" s="160"/>
      <c r="K556" s="160">
        <f t="shared" si="48"/>
        <v>3200000</v>
      </c>
      <c r="L556" s="26"/>
      <c r="M556" s="1223"/>
      <c r="N556" s="61"/>
      <c r="O556" s="61"/>
    </row>
    <row r="557" spans="1:15" s="642" customFormat="1" x14ac:dyDescent="0.2">
      <c r="A557" s="99"/>
      <c r="B557" s="111"/>
      <c r="C557" s="119"/>
      <c r="D557" s="99"/>
      <c r="E557" s="176"/>
      <c r="F557" s="124">
        <v>64</v>
      </c>
      <c r="G557" s="95">
        <v>416</v>
      </c>
      <c r="H557" s="89" t="s">
        <v>6</v>
      </c>
      <c r="I557" s="160">
        <v>2000000</v>
      </c>
      <c r="J557" s="160"/>
      <c r="K557" s="160">
        <f t="shared" si="48"/>
        <v>2000000</v>
      </c>
      <c r="L557" s="26"/>
      <c r="M557" s="1223"/>
      <c r="N557" s="61"/>
      <c r="O557" s="61"/>
    </row>
    <row r="558" spans="1:15" s="642" customFormat="1" x14ac:dyDescent="0.2">
      <c r="A558" s="98"/>
      <c r="B558" s="111"/>
      <c r="C558" s="111"/>
      <c r="D558" s="98"/>
      <c r="E558" s="176"/>
      <c r="F558" s="124">
        <v>65</v>
      </c>
      <c r="G558" s="95">
        <v>421</v>
      </c>
      <c r="H558" s="89" t="s">
        <v>7</v>
      </c>
      <c r="I558" s="160">
        <f>36579862.82-1741.96+200+67-88368-586.6+110.46+348.01+200+216.59</f>
        <v>36490308.32</v>
      </c>
      <c r="J558" s="160"/>
      <c r="K558" s="160">
        <f t="shared" si="48"/>
        <v>36490308.32</v>
      </c>
      <c r="L558" s="316"/>
      <c r="M558" s="1223"/>
      <c r="N558" s="61"/>
      <c r="O558" s="61"/>
    </row>
    <row r="559" spans="1:15" s="642" customFormat="1" x14ac:dyDescent="0.2">
      <c r="A559" s="99"/>
      <c r="B559" s="111"/>
      <c r="C559" s="119"/>
      <c r="D559" s="99"/>
      <c r="E559" s="176"/>
      <c r="F559" s="124">
        <v>66</v>
      </c>
      <c r="G559" s="95">
        <v>422</v>
      </c>
      <c r="H559" s="90" t="s">
        <v>8</v>
      </c>
      <c r="I559" s="160">
        <v>2000000</v>
      </c>
      <c r="J559" s="160"/>
      <c r="K559" s="160">
        <f t="shared" si="48"/>
        <v>2000000</v>
      </c>
      <c r="L559" s="26"/>
      <c r="M559" s="1223"/>
      <c r="N559" s="61"/>
      <c r="O559" s="61"/>
    </row>
    <row r="560" spans="1:15" s="642" customFormat="1" x14ac:dyDescent="0.2">
      <c r="A560" s="99"/>
      <c r="B560" s="111"/>
      <c r="C560" s="119"/>
      <c r="D560" s="99"/>
      <c r="E560" s="176"/>
      <c r="F560" s="124">
        <v>67</v>
      </c>
      <c r="G560" s="95">
        <v>423</v>
      </c>
      <c r="H560" s="90" t="s">
        <v>9</v>
      </c>
      <c r="I560" s="160">
        <v>29050000</v>
      </c>
      <c r="J560" s="160"/>
      <c r="K560" s="160">
        <f t="shared" si="48"/>
        <v>29050000</v>
      </c>
      <c r="L560" s="26"/>
      <c r="M560" s="1223"/>
      <c r="N560" s="61"/>
      <c r="O560" s="61"/>
    </row>
    <row r="561" spans="1:15" s="642" customFormat="1" x14ac:dyDescent="0.2">
      <c r="A561" s="99"/>
      <c r="B561" s="111"/>
      <c r="C561" s="119"/>
      <c r="D561" s="99"/>
      <c r="E561" s="176"/>
      <c r="F561" s="124">
        <v>68</v>
      </c>
      <c r="G561" s="95">
        <v>424</v>
      </c>
      <c r="H561" s="90" t="s">
        <v>10</v>
      </c>
      <c r="I561" s="160">
        <v>25200000</v>
      </c>
      <c r="J561" s="160"/>
      <c r="K561" s="160">
        <f t="shared" si="48"/>
        <v>25200000</v>
      </c>
      <c r="L561" s="26"/>
      <c r="M561" s="1223"/>
      <c r="N561" s="61"/>
      <c r="O561" s="61"/>
    </row>
    <row r="562" spans="1:15" s="953" customFormat="1" ht="15" x14ac:dyDescent="0.25">
      <c r="A562" s="99"/>
      <c r="B562" s="111"/>
      <c r="C562" s="119"/>
      <c r="D562" s="99"/>
      <c r="E562" s="176"/>
      <c r="F562" s="124">
        <v>69</v>
      </c>
      <c r="G562" s="95">
        <v>425</v>
      </c>
      <c r="H562" s="90" t="s">
        <v>11</v>
      </c>
      <c r="I562" s="187">
        <v>24600000</v>
      </c>
      <c r="J562" s="187"/>
      <c r="K562" s="160">
        <f t="shared" si="48"/>
        <v>24600000</v>
      </c>
      <c r="L562" s="26"/>
      <c r="M562" s="1223"/>
      <c r="N562" s="885"/>
      <c r="O562" s="885"/>
    </row>
    <row r="563" spans="1:15" s="642" customFormat="1" x14ac:dyDescent="0.2">
      <c r="A563" s="99"/>
      <c r="B563" s="111"/>
      <c r="C563" s="119"/>
      <c r="D563" s="99"/>
      <c r="E563" s="176"/>
      <c r="F563" s="124">
        <v>70</v>
      </c>
      <c r="G563" s="95">
        <v>426</v>
      </c>
      <c r="H563" s="90" t="s">
        <v>36</v>
      </c>
      <c r="I563" s="160">
        <v>33300000</v>
      </c>
      <c r="J563" s="160"/>
      <c r="K563" s="160">
        <f t="shared" si="48"/>
        <v>33300000</v>
      </c>
      <c r="L563" s="26"/>
      <c r="M563" s="1223"/>
      <c r="N563" s="61"/>
      <c r="O563" s="61"/>
    </row>
    <row r="564" spans="1:15" s="642" customFormat="1" x14ac:dyDescent="0.2">
      <c r="A564" s="99"/>
      <c r="B564" s="111"/>
      <c r="C564" s="119"/>
      <c r="D564" s="99"/>
      <c r="E564" s="176"/>
      <c r="F564" s="124">
        <v>71</v>
      </c>
      <c r="G564" s="95">
        <v>441</v>
      </c>
      <c r="H564" s="90" t="s">
        <v>13</v>
      </c>
      <c r="I564" s="187">
        <v>1000000</v>
      </c>
      <c r="J564" s="187"/>
      <c r="K564" s="160">
        <f t="shared" si="48"/>
        <v>1000000</v>
      </c>
      <c r="L564" s="26"/>
      <c r="M564" s="1223"/>
      <c r="N564" s="61"/>
      <c r="O564" s="61"/>
    </row>
    <row r="565" spans="1:15" s="642" customFormat="1" x14ac:dyDescent="0.2">
      <c r="A565" s="99"/>
      <c r="B565" s="111"/>
      <c r="C565" s="119"/>
      <c r="D565" s="99"/>
      <c r="E565" s="176"/>
      <c r="F565" s="124">
        <v>72</v>
      </c>
      <c r="G565" s="95">
        <v>444</v>
      </c>
      <c r="H565" s="90" t="s">
        <v>14</v>
      </c>
      <c r="I565" s="187">
        <v>500000</v>
      </c>
      <c r="J565" s="187"/>
      <c r="K565" s="160">
        <f t="shared" si="48"/>
        <v>500000</v>
      </c>
      <c r="L565" s="26"/>
      <c r="M565" s="1223"/>
      <c r="N565" s="61"/>
      <c r="O565" s="61"/>
    </row>
    <row r="566" spans="1:15" s="642" customFormat="1" x14ac:dyDescent="0.2">
      <c r="A566" s="99"/>
      <c r="B566" s="111"/>
      <c r="C566" s="119"/>
      <c r="D566" s="99"/>
      <c r="E566" s="176"/>
      <c r="F566" s="124">
        <v>73</v>
      </c>
      <c r="G566" s="95">
        <v>465</v>
      </c>
      <c r="H566" s="90" t="s">
        <v>218</v>
      </c>
      <c r="I566" s="1278">
        <f>10490000-38000</f>
        <v>10452000</v>
      </c>
      <c r="J566" s="187"/>
      <c r="K566" s="160">
        <f t="shared" si="48"/>
        <v>10452000</v>
      </c>
      <c r="L566" s="26"/>
      <c r="M566" s="1223"/>
      <c r="N566" s="61"/>
      <c r="O566" s="61"/>
    </row>
    <row r="567" spans="1:15" s="642" customFormat="1" x14ac:dyDescent="0.2">
      <c r="A567" s="99"/>
      <c r="B567" s="111"/>
      <c r="C567" s="119"/>
      <c r="D567" s="99"/>
      <c r="E567" s="176"/>
      <c r="F567" s="124">
        <v>74</v>
      </c>
      <c r="G567" s="95">
        <v>482</v>
      </c>
      <c r="H567" s="90" t="s">
        <v>17</v>
      </c>
      <c r="I567" s="160">
        <v>1200000</v>
      </c>
      <c r="J567" s="160"/>
      <c r="K567" s="160">
        <f t="shared" si="48"/>
        <v>1200000</v>
      </c>
      <c r="L567" s="27"/>
      <c r="M567" s="1223"/>
      <c r="N567" s="61"/>
      <c r="O567" s="61"/>
    </row>
    <row r="568" spans="1:15" s="642" customFormat="1" x14ac:dyDescent="0.2">
      <c r="A568" s="98"/>
      <c r="B568" s="111"/>
      <c r="C568" s="111"/>
      <c r="D568" s="98"/>
      <c r="E568" s="176"/>
      <c r="F568" s="124">
        <v>75</v>
      </c>
      <c r="G568" s="95">
        <v>483</v>
      </c>
      <c r="H568" s="89" t="s">
        <v>18</v>
      </c>
      <c r="I568" s="1278">
        <v>78000000</v>
      </c>
      <c r="J568" s="187"/>
      <c r="K568" s="160">
        <f t="shared" si="48"/>
        <v>78000000</v>
      </c>
      <c r="L568" s="952"/>
      <c r="M568" s="1223"/>
      <c r="N568" s="61"/>
      <c r="O568" s="61"/>
    </row>
    <row r="569" spans="1:15" s="642" customFormat="1" x14ac:dyDescent="0.2">
      <c r="A569" s="98"/>
      <c r="B569" s="111"/>
      <c r="C569" s="111"/>
      <c r="D569" s="98"/>
      <c r="E569" s="176"/>
      <c r="F569" s="124">
        <v>76</v>
      </c>
      <c r="G569" s="95">
        <v>485</v>
      </c>
      <c r="H569" s="89" t="s">
        <v>802</v>
      </c>
      <c r="I569" s="1278">
        <v>5000000</v>
      </c>
      <c r="J569" s="187"/>
      <c r="K569" s="160">
        <f t="shared" si="48"/>
        <v>5000000</v>
      </c>
      <c r="L569" s="27"/>
      <c r="M569" s="1223"/>
      <c r="N569" s="61"/>
      <c r="O569" s="61"/>
    </row>
    <row r="570" spans="1:15" s="642" customFormat="1" x14ac:dyDescent="0.2">
      <c r="A570" s="99"/>
      <c r="B570" s="111"/>
      <c r="C570" s="119"/>
      <c r="D570" s="99"/>
      <c r="E570" s="176"/>
      <c r="F570" s="124">
        <v>77</v>
      </c>
      <c r="G570" s="95">
        <v>511</v>
      </c>
      <c r="H570" s="90" t="s">
        <v>20</v>
      </c>
      <c r="I570" s="1278">
        <v>31624000</v>
      </c>
      <c r="J570" s="187"/>
      <c r="K570" s="160">
        <f t="shared" si="48"/>
        <v>31624000</v>
      </c>
      <c r="L570" s="27"/>
      <c r="M570" s="1223"/>
      <c r="N570" s="61"/>
      <c r="O570" s="61"/>
    </row>
    <row r="571" spans="1:15" s="642" customFormat="1" x14ac:dyDescent="0.2">
      <c r="A571" s="99"/>
      <c r="B571" s="111"/>
      <c r="C571" s="119"/>
      <c r="D571" s="99"/>
      <c r="E571" s="176"/>
      <c r="F571" s="124">
        <v>78</v>
      </c>
      <c r="G571" s="95">
        <v>512</v>
      </c>
      <c r="H571" s="90" t="s">
        <v>60</v>
      </c>
      <c r="I571" s="187">
        <v>24900000</v>
      </c>
      <c r="J571" s="187"/>
      <c r="K571" s="160">
        <f t="shared" si="48"/>
        <v>24900000</v>
      </c>
      <c r="L571" s="27"/>
      <c r="M571" s="1223"/>
      <c r="N571" s="61"/>
      <c r="O571" s="61"/>
    </row>
    <row r="572" spans="1:15" s="953" customFormat="1" ht="15" x14ac:dyDescent="0.25">
      <c r="A572" s="99"/>
      <c r="B572" s="111"/>
      <c r="C572" s="119"/>
      <c r="D572" s="99"/>
      <c r="E572" s="176"/>
      <c r="F572" s="124">
        <v>79</v>
      </c>
      <c r="G572" s="95">
        <v>515</v>
      </c>
      <c r="H572" s="90" t="s">
        <v>23</v>
      </c>
      <c r="I572" s="160">
        <v>100000</v>
      </c>
      <c r="J572" s="160"/>
      <c r="K572" s="160">
        <f t="shared" si="48"/>
        <v>100000</v>
      </c>
      <c r="L572" s="27"/>
      <c r="M572" s="1223"/>
      <c r="N572" s="885"/>
      <c r="O572" s="885"/>
    </row>
    <row r="573" spans="1:15" s="953" customFormat="1" ht="15" x14ac:dyDescent="0.25">
      <c r="A573" s="99"/>
      <c r="B573" s="111"/>
      <c r="C573" s="119"/>
      <c r="D573" s="99"/>
      <c r="E573" s="176"/>
      <c r="F573" s="124">
        <v>80</v>
      </c>
      <c r="G573" s="95">
        <v>541</v>
      </c>
      <c r="H573" s="90" t="s">
        <v>25</v>
      </c>
      <c r="I573" s="1276">
        <v>20000000</v>
      </c>
      <c r="J573" s="160"/>
      <c r="K573" s="160">
        <f t="shared" si="48"/>
        <v>20000000</v>
      </c>
      <c r="L573" s="27"/>
      <c r="M573" s="1223"/>
      <c r="N573" s="885"/>
      <c r="O573" s="885"/>
    </row>
    <row r="574" spans="1:15" s="642" customFormat="1" x14ac:dyDescent="0.2">
      <c r="A574" s="99"/>
      <c r="B574" s="111"/>
      <c r="C574" s="119"/>
      <c r="D574" s="99"/>
      <c r="E574" s="176"/>
      <c r="F574" s="124">
        <v>81</v>
      </c>
      <c r="G574" s="95">
        <v>621</v>
      </c>
      <c r="H574" s="90" t="s">
        <v>27</v>
      </c>
      <c r="I574" s="160">
        <v>100000</v>
      </c>
      <c r="J574" s="160"/>
      <c r="K574" s="160">
        <f t="shared" si="48"/>
        <v>100000</v>
      </c>
      <c r="L574" s="27"/>
      <c r="M574" s="1223"/>
      <c r="N574" s="61"/>
      <c r="O574" s="61"/>
    </row>
    <row r="575" spans="1:15" s="642" customFormat="1" x14ac:dyDescent="0.2">
      <c r="A575" s="101"/>
      <c r="B575" s="781"/>
      <c r="C575" s="121"/>
      <c r="D575" s="101"/>
      <c r="E575" s="177"/>
      <c r="F575" s="42"/>
      <c r="G575" s="42"/>
      <c r="H575" s="97" t="s">
        <v>761</v>
      </c>
      <c r="I575" s="162">
        <f>SUM(I552:I574)</f>
        <v>439447708.31999999</v>
      </c>
      <c r="J575" s="162"/>
      <c r="K575" s="162">
        <f t="shared" ref="K575" si="49">SUM(K552:K574)</f>
        <v>439447708.31999999</v>
      </c>
      <c r="L575" s="27"/>
      <c r="M575" s="1223"/>
      <c r="N575" s="61"/>
      <c r="O575" s="61"/>
    </row>
    <row r="576" spans="1:15" s="642" customFormat="1" x14ac:dyDescent="0.2">
      <c r="A576" s="99"/>
      <c r="B576" s="111"/>
      <c r="C576" s="119"/>
      <c r="D576" s="99"/>
      <c r="E576" s="176"/>
      <c r="F576" s="1"/>
      <c r="G576" s="1"/>
      <c r="H576" s="138" t="s">
        <v>61</v>
      </c>
      <c r="I576" s="163"/>
      <c r="J576" s="163"/>
      <c r="K576" s="164"/>
      <c r="L576" s="27"/>
      <c r="M576" s="1223"/>
      <c r="N576" s="61"/>
      <c r="O576" s="61"/>
    </row>
    <row r="577" spans="1:15" s="642" customFormat="1" x14ac:dyDescent="0.2">
      <c r="A577" s="99"/>
      <c r="B577" s="111"/>
      <c r="C577" s="119"/>
      <c r="D577" s="99"/>
      <c r="E577" s="176"/>
      <c r="F577" s="1"/>
      <c r="G577" s="38" t="s">
        <v>39</v>
      </c>
      <c r="H577" s="90" t="s">
        <v>40</v>
      </c>
      <c r="I577" s="160">
        <f>SUM(I575-I578-I579)</f>
        <v>362078187.81999999</v>
      </c>
      <c r="J577" s="160"/>
      <c r="K577" s="160">
        <f>SUM(I577+J577)</f>
        <v>362078187.81999999</v>
      </c>
      <c r="L577" s="27"/>
      <c r="M577" s="1223"/>
      <c r="N577" s="61"/>
      <c r="O577" s="61"/>
    </row>
    <row r="578" spans="1:15" s="642" customFormat="1" x14ac:dyDescent="0.2">
      <c r="A578" s="99"/>
      <c r="B578" s="111"/>
      <c r="C578" s="119"/>
      <c r="D578" s="99"/>
      <c r="E578" s="176"/>
      <c r="F578" s="1"/>
      <c r="G578" s="38" t="s">
        <v>157</v>
      </c>
      <c r="H578" s="90" t="s">
        <v>354</v>
      </c>
      <c r="I578" s="160">
        <v>1000</v>
      </c>
      <c r="J578" s="160"/>
      <c r="K578" s="160">
        <f>SUM(I578+J578)</f>
        <v>1000</v>
      </c>
      <c r="L578" s="27"/>
      <c r="M578" s="1223"/>
      <c r="N578" s="61"/>
      <c r="O578" s="61"/>
    </row>
    <row r="579" spans="1:15" s="642" customFormat="1" x14ac:dyDescent="0.2">
      <c r="A579" s="99"/>
      <c r="B579" s="111"/>
      <c r="C579" s="119"/>
      <c r="D579" s="99"/>
      <c r="E579" s="176"/>
      <c r="F579" s="1"/>
      <c r="G579" s="38" t="s">
        <v>1141</v>
      </c>
      <c r="H579" s="90" t="s">
        <v>1142</v>
      </c>
      <c r="I579" s="160">
        <v>77368520.5</v>
      </c>
      <c r="J579" s="160"/>
      <c r="K579" s="160">
        <f>SUM(I579+J579)</f>
        <v>77368520.5</v>
      </c>
      <c r="L579" s="27"/>
      <c r="M579" s="1223"/>
      <c r="N579" s="61"/>
      <c r="O579" s="61"/>
    </row>
    <row r="580" spans="1:15" s="642" customFormat="1" x14ac:dyDescent="0.2">
      <c r="A580" s="101"/>
      <c r="B580" s="781"/>
      <c r="C580" s="121"/>
      <c r="D580" s="101"/>
      <c r="E580" s="177"/>
      <c r="F580" s="42"/>
      <c r="G580" s="43"/>
      <c r="H580" s="97" t="s">
        <v>62</v>
      </c>
      <c r="I580" s="162">
        <f>SUM(I575)</f>
        <v>439447708.31999999</v>
      </c>
      <c r="J580" s="162"/>
      <c r="K580" s="162">
        <f>SUM(I580:J580)</f>
        <v>439447708.31999999</v>
      </c>
      <c r="L580" s="27"/>
      <c r="M580" s="1223"/>
      <c r="N580" s="61"/>
      <c r="O580" s="61"/>
    </row>
    <row r="581" spans="1:15" x14ac:dyDescent="0.2">
      <c r="A581" s="103"/>
      <c r="B581" s="113"/>
      <c r="C581" s="122"/>
      <c r="D581" s="103"/>
      <c r="E581" s="250"/>
      <c r="F581" s="46"/>
      <c r="G581" s="67"/>
      <c r="H581" s="70"/>
      <c r="I581" s="229"/>
      <c r="J581" s="229"/>
      <c r="K581" s="229"/>
    </row>
    <row r="582" spans="1:15" s="642" customFormat="1" x14ac:dyDescent="0.2">
      <c r="A582" s="99"/>
      <c r="B582" s="111"/>
      <c r="C582" s="826">
        <v>130</v>
      </c>
      <c r="D582" s="99"/>
      <c r="E582" s="483" t="s">
        <v>296</v>
      </c>
      <c r="F582" s="1"/>
      <c r="G582" s="30"/>
      <c r="H582" s="954" t="s">
        <v>968</v>
      </c>
      <c r="I582" s="906"/>
      <c r="J582" s="906"/>
      <c r="K582" s="906"/>
      <c r="L582" s="27"/>
      <c r="M582" s="1223"/>
      <c r="N582" s="61"/>
      <c r="O582" s="61"/>
    </row>
    <row r="583" spans="1:15" s="642" customFormat="1" x14ac:dyDescent="0.2">
      <c r="A583" s="99"/>
      <c r="B583" s="111"/>
      <c r="C583" s="119"/>
      <c r="D583" s="99"/>
      <c r="E583" s="176"/>
      <c r="F583" s="1"/>
      <c r="G583" s="30"/>
      <c r="H583" s="29"/>
      <c r="I583" s="906"/>
      <c r="J583" s="906"/>
      <c r="K583" s="906"/>
      <c r="L583" s="27"/>
      <c r="M583" s="1223"/>
      <c r="N583" s="61"/>
      <c r="O583" s="61"/>
    </row>
    <row r="584" spans="1:15" s="642" customFormat="1" x14ac:dyDescent="0.2">
      <c r="A584" s="99"/>
      <c r="B584" s="111"/>
      <c r="C584" s="119"/>
      <c r="D584" s="99"/>
      <c r="E584" s="176"/>
      <c r="F584" s="124" t="s">
        <v>969</v>
      </c>
      <c r="G584" s="500">
        <v>512</v>
      </c>
      <c r="H584" s="12" t="s">
        <v>60</v>
      </c>
      <c r="I584" s="151">
        <v>4053235.2</v>
      </c>
      <c r="J584" s="151"/>
      <c r="K584" s="133">
        <f t="shared" ref="K584" si="50">SUM(I584+J584)</f>
        <v>4053235.2</v>
      </c>
      <c r="L584" s="27"/>
      <c r="M584" s="1223"/>
      <c r="N584" s="61"/>
      <c r="O584" s="61"/>
    </row>
    <row r="585" spans="1:15" s="642" customFormat="1" ht="22.5" x14ac:dyDescent="0.2">
      <c r="A585" s="99"/>
      <c r="B585" s="111"/>
      <c r="C585" s="119"/>
      <c r="D585" s="99"/>
      <c r="E585" s="176"/>
      <c r="F585" s="1"/>
      <c r="G585" s="1"/>
      <c r="H585" s="955" t="s">
        <v>970</v>
      </c>
      <c r="I585" s="859"/>
      <c r="J585" s="859"/>
      <c r="K585" s="860"/>
      <c r="L585" s="27"/>
      <c r="M585" s="1223"/>
      <c r="N585" s="61"/>
      <c r="O585" s="61"/>
    </row>
    <row r="586" spans="1:15" s="642" customFormat="1" x14ac:dyDescent="0.2">
      <c r="A586" s="99"/>
      <c r="B586" s="111"/>
      <c r="C586" s="119"/>
      <c r="D586" s="99"/>
      <c r="E586" s="176"/>
      <c r="F586" s="1"/>
      <c r="G586" s="38" t="s">
        <v>39</v>
      </c>
      <c r="H586" s="90" t="s">
        <v>40</v>
      </c>
      <c r="I586" s="133">
        <f>SUM(I584-I587)</f>
        <v>1215970.56</v>
      </c>
      <c r="J586" s="133"/>
      <c r="K586" s="133">
        <f>SUM(I586+J586)</f>
        <v>1215970.56</v>
      </c>
      <c r="L586" s="27"/>
      <c r="M586" s="1223"/>
      <c r="N586" s="61"/>
      <c r="O586" s="61"/>
    </row>
    <row r="587" spans="1:15" s="642" customFormat="1" x14ac:dyDescent="0.2">
      <c r="A587" s="99"/>
      <c r="B587" s="111"/>
      <c r="C587" s="119"/>
      <c r="D587" s="99"/>
      <c r="E587" s="176"/>
      <c r="F587" s="1"/>
      <c r="G587" s="38" t="s">
        <v>157</v>
      </c>
      <c r="H587" s="90" t="s">
        <v>354</v>
      </c>
      <c r="I587" s="133">
        <v>2837264.64</v>
      </c>
      <c r="J587" s="133"/>
      <c r="K587" s="133">
        <f>SUM(I587+J587)</f>
        <v>2837264.64</v>
      </c>
      <c r="L587" s="27"/>
      <c r="M587" s="1223"/>
      <c r="N587" s="61"/>
      <c r="O587" s="61"/>
    </row>
    <row r="588" spans="1:15" s="642" customFormat="1" x14ac:dyDescent="0.2">
      <c r="A588" s="99"/>
      <c r="B588" s="111"/>
      <c r="C588" s="119"/>
      <c r="D588" s="99"/>
      <c r="E588" s="176"/>
      <c r="F588" s="1"/>
      <c r="G588" s="38"/>
      <c r="H588" s="97" t="s">
        <v>62</v>
      </c>
      <c r="I588" s="170">
        <f>SUM(I586:I587)</f>
        <v>4053235.2</v>
      </c>
      <c r="J588" s="170"/>
      <c r="K588" s="170">
        <f>SUM(K586:K587)</f>
        <v>4053235.2</v>
      </c>
      <c r="L588" s="27"/>
      <c r="M588" s="1223"/>
      <c r="N588" s="61"/>
      <c r="O588" s="61"/>
    </row>
    <row r="589" spans="1:15" s="642" customFormat="1" x14ac:dyDescent="0.2">
      <c r="A589" s="94"/>
      <c r="B589" s="112"/>
      <c r="C589" s="111"/>
      <c r="D589" s="98"/>
      <c r="E589" s="128"/>
      <c r="F589" s="1"/>
      <c r="G589" s="38"/>
      <c r="H589" s="44"/>
      <c r="I589" s="863"/>
      <c r="J589" s="863"/>
      <c r="K589" s="863"/>
      <c r="L589" s="48"/>
      <c r="M589" s="1223"/>
      <c r="N589" s="61"/>
      <c r="O589" s="61"/>
    </row>
    <row r="590" spans="1:15" s="642" customFormat="1" ht="22.5" x14ac:dyDescent="0.2">
      <c r="A590" s="99"/>
      <c r="B590" s="111"/>
      <c r="C590" s="826">
        <v>130</v>
      </c>
      <c r="D590" s="99"/>
      <c r="E590" s="483" t="s">
        <v>296</v>
      </c>
      <c r="F590" s="1"/>
      <c r="G590" s="30"/>
      <c r="H590" s="1256" t="s">
        <v>1144</v>
      </c>
      <c r="I590" s="906"/>
      <c r="J590" s="906"/>
      <c r="K590" s="906"/>
      <c r="L590" s="27"/>
      <c r="M590" s="1223"/>
      <c r="N590" s="61"/>
      <c r="O590" s="61"/>
    </row>
    <row r="591" spans="1:15" s="642" customFormat="1" x14ac:dyDescent="0.2">
      <c r="A591" s="99"/>
      <c r="B591" s="111"/>
      <c r="C591" s="119"/>
      <c r="D591" s="99"/>
      <c r="E591" s="176"/>
      <c r="F591" s="1"/>
      <c r="G591" s="30"/>
      <c r="H591" s="29"/>
      <c r="I591" s="906"/>
      <c r="J591" s="906"/>
      <c r="K591" s="906"/>
      <c r="L591" s="27"/>
      <c r="M591" s="1223"/>
      <c r="N591" s="61"/>
      <c r="O591" s="61"/>
    </row>
    <row r="592" spans="1:15" s="642" customFormat="1" x14ac:dyDescent="0.2">
      <c r="A592" s="99"/>
      <c r="B592" s="111"/>
      <c r="C592" s="119"/>
      <c r="D592" s="99"/>
      <c r="E592" s="176"/>
      <c r="F592" s="124" t="s">
        <v>1134</v>
      </c>
      <c r="G592" s="500">
        <v>511</v>
      </c>
      <c r="H592" s="90" t="s">
        <v>20</v>
      </c>
      <c r="I592" s="151">
        <v>600000</v>
      </c>
      <c r="J592" s="151"/>
      <c r="K592" s="133">
        <f t="shared" ref="K592" si="51">SUM(I592+J592)</f>
        <v>600000</v>
      </c>
      <c r="L592" s="27"/>
      <c r="M592" s="1223"/>
      <c r="N592" s="61"/>
      <c r="O592" s="61"/>
    </row>
    <row r="593" spans="1:15" s="642" customFormat="1" ht="22.5" x14ac:dyDescent="0.2">
      <c r="A593" s="99"/>
      <c r="B593" s="111"/>
      <c r="C593" s="119"/>
      <c r="D593" s="99"/>
      <c r="E593" s="176"/>
      <c r="F593" s="1"/>
      <c r="G593" s="1"/>
      <c r="H593" s="1255" t="s">
        <v>1136</v>
      </c>
      <c r="I593" s="859"/>
      <c r="J593" s="859"/>
      <c r="K593" s="860"/>
      <c r="L593" s="27"/>
      <c r="M593" s="1223"/>
      <c r="N593" s="61"/>
      <c r="O593" s="61"/>
    </row>
    <row r="594" spans="1:15" s="642" customFormat="1" x14ac:dyDescent="0.2">
      <c r="A594" s="99"/>
      <c r="B594" s="111"/>
      <c r="C594" s="119"/>
      <c r="D594" s="99"/>
      <c r="E594" s="176"/>
      <c r="F594" s="1"/>
      <c r="G594" s="38" t="s">
        <v>39</v>
      </c>
      <c r="H594" s="90" t="s">
        <v>40</v>
      </c>
      <c r="I594" s="133">
        <v>600000</v>
      </c>
      <c r="J594" s="133"/>
      <c r="K594" s="133">
        <f>SUM(I594+J594)</f>
        <v>600000</v>
      </c>
      <c r="L594" s="27"/>
      <c r="M594" s="1223"/>
      <c r="N594" s="61"/>
      <c r="O594" s="61"/>
    </row>
    <row r="595" spans="1:15" s="642" customFormat="1" x14ac:dyDescent="0.2">
      <c r="A595" s="99"/>
      <c r="B595" s="111"/>
      <c r="C595" s="119"/>
      <c r="D595" s="99"/>
      <c r="E595" s="176"/>
      <c r="F595" s="1"/>
      <c r="G595" s="38"/>
      <c r="H595" s="97" t="s">
        <v>62</v>
      </c>
      <c r="I595" s="170">
        <f>SUM(I594:I594)</f>
        <v>600000</v>
      </c>
      <c r="J595" s="170"/>
      <c r="K595" s="170">
        <f>SUM(K594:K594)</f>
        <v>600000</v>
      </c>
      <c r="L595" s="27"/>
      <c r="M595" s="1223"/>
      <c r="N595" s="61"/>
      <c r="O595" s="61"/>
    </row>
    <row r="596" spans="1:15" s="642" customFormat="1" x14ac:dyDescent="0.2">
      <c r="A596" s="94"/>
      <c r="B596" s="112"/>
      <c r="C596" s="111"/>
      <c r="D596" s="98"/>
      <c r="E596" s="128"/>
      <c r="F596" s="1"/>
      <c r="G596" s="38"/>
      <c r="H596" s="44"/>
      <c r="I596" s="863"/>
      <c r="J596" s="863"/>
      <c r="K596" s="863"/>
      <c r="L596" s="48"/>
      <c r="M596" s="1223"/>
      <c r="N596" s="61"/>
      <c r="O596" s="61"/>
    </row>
    <row r="597" spans="1:15" s="642" customFormat="1" ht="22.5" x14ac:dyDescent="0.2">
      <c r="A597" s="94"/>
      <c r="B597" s="112"/>
      <c r="C597" s="111">
        <v>620</v>
      </c>
      <c r="D597" s="98"/>
      <c r="E597" s="128" t="s">
        <v>296</v>
      </c>
      <c r="F597" s="1"/>
      <c r="G597" s="38"/>
      <c r="H597" s="956" t="s">
        <v>1132</v>
      </c>
      <c r="I597" s="272"/>
      <c r="J597" s="272"/>
      <c r="K597" s="273"/>
      <c r="L597" s="27"/>
      <c r="M597" s="1223"/>
      <c r="N597" s="61"/>
      <c r="O597" s="61"/>
    </row>
    <row r="598" spans="1:15" s="642" customFormat="1" x14ac:dyDescent="0.2">
      <c r="A598" s="94"/>
      <c r="B598" s="112"/>
      <c r="C598" s="111"/>
      <c r="D598" s="98"/>
      <c r="E598" s="128"/>
      <c r="F598" s="95">
        <v>82</v>
      </c>
      <c r="G598" s="154" t="s">
        <v>51</v>
      </c>
      <c r="H598" s="12" t="s">
        <v>10</v>
      </c>
      <c r="I598" s="160">
        <v>1000</v>
      </c>
      <c r="J598" s="173"/>
      <c r="K598" s="160">
        <f>SUM(I598:J598)</f>
        <v>1000</v>
      </c>
      <c r="L598" s="27"/>
      <c r="M598" s="1223"/>
      <c r="N598" s="61"/>
      <c r="O598" s="61"/>
    </row>
    <row r="599" spans="1:15" s="642" customFormat="1" x14ac:dyDescent="0.2">
      <c r="A599" s="94"/>
      <c r="B599" s="112"/>
      <c r="C599" s="111"/>
      <c r="D599" s="98"/>
      <c r="E599" s="128"/>
      <c r="F599" s="95">
        <v>83</v>
      </c>
      <c r="G599" s="154" t="s">
        <v>332</v>
      </c>
      <c r="H599" s="12" t="s">
        <v>20</v>
      </c>
      <c r="I599" s="160">
        <v>1000</v>
      </c>
      <c r="J599" s="173"/>
      <c r="K599" s="160">
        <f t="shared" ref="K599:K600" si="52">SUM(I599:J599)</f>
        <v>1000</v>
      </c>
      <c r="L599" s="27"/>
      <c r="M599" s="1223"/>
      <c r="N599" s="61"/>
      <c r="O599" s="61"/>
    </row>
    <row r="600" spans="1:15" s="642" customFormat="1" x14ac:dyDescent="0.2">
      <c r="A600" s="94"/>
      <c r="B600" s="112"/>
      <c r="C600" s="111"/>
      <c r="D600" s="98"/>
      <c r="E600" s="128"/>
      <c r="F600" s="95">
        <v>84</v>
      </c>
      <c r="G600" s="154" t="s">
        <v>699</v>
      </c>
      <c r="H600" s="12" t="s">
        <v>60</v>
      </c>
      <c r="I600" s="160">
        <v>1000</v>
      </c>
      <c r="J600" s="173"/>
      <c r="K600" s="160">
        <f t="shared" si="52"/>
        <v>1000</v>
      </c>
      <c r="L600" s="27"/>
      <c r="M600" s="1223"/>
      <c r="N600" s="61"/>
      <c r="O600" s="61"/>
    </row>
    <row r="601" spans="1:15" s="642" customFormat="1" ht="22.5" x14ac:dyDescent="0.2">
      <c r="A601" s="94"/>
      <c r="B601" s="112"/>
      <c r="C601" s="111"/>
      <c r="D601" s="98"/>
      <c r="E601" s="128"/>
      <c r="F601" s="1"/>
      <c r="G601" s="455"/>
      <c r="H601" s="153" t="s">
        <v>1145</v>
      </c>
      <c r="I601" s="173">
        <f>SUM(I598:I600)</f>
        <v>3000</v>
      </c>
      <c r="J601" s="173"/>
      <c r="K601" s="173">
        <f>SUM(I601:J601)</f>
        <v>3000</v>
      </c>
      <c r="L601" s="27"/>
      <c r="M601" s="1223"/>
      <c r="N601" s="61"/>
      <c r="O601" s="61"/>
    </row>
    <row r="602" spans="1:15" s="642" customFormat="1" x14ac:dyDescent="0.2">
      <c r="A602" s="94"/>
      <c r="B602" s="112"/>
      <c r="C602" s="111"/>
      <c r="D602" s="98"/>
      <c r="E602" s="128"/>
      <c r="F602" s="1"/>
      <c r="G602" s="38" t="s">
        <v>39</v>
      </c>
      <c r="H602" s="90" t="s">
        <v>40</v>
      </c>
      <c r="I602" s="133">
        <f>SUM(I601)</f>
        <v>3000</v>
      </c>
      <c r="J602" s="173"/>
      <c r="K602" s="160">
        <f>SUM(I602:J602)</f>
        <v>3000</v>
      </c>
      <c r="L602" s="27"/>
      <c r="M602" s="1223"/>
      <c r="N602" s="61"/>
      <c r="O602" s="61"/>
    </row>
    <row r="603" spans="1:15" s="642" customFormat="1" x14ac:dyDescent="0.2">
      <c r="A603" s="94"/>
      <c r="B603" s="112"/>
      <c r="C603" s="111"/>
      <c r="D603" s="98"/>
      <c r="E603" s="128"/>
      <c r="F603" s="1"/>
      <c r="G603" s="38"/>
      <c r="H603" s="97" t="s">
        <v>361</v>
      </c>
      <c r="I603" s="173">
        <f>SUM(I602)</f>
        <v>3000</v>
      </c>
      <c r="J603" s="173"/>
      <c r="K603" s="173">
        <f>SUM(I603:J603)</f>
        <v>3000</v>
      </c>
      <c r="L603" s="27"/>
      <c r="M603" s="1223"/>
      <c r="N603" s="61"/>
      <c r="O603" s="61"/>
    </row>
    <row r="604" spans="1:15" s="642" customFormat="1" x14ac:dyDescent="0.2">
      <c r="A604" s="94"/>
      <c r="B604" s="112"/>
      <c r="C604" s="111"/>
      <c r="D604" s="98"/>
      <c r="E604" s="128"/>
      <c r="F604" s="1"/>
      <c r="G604" s="38"/>
      <c r="H604" s="985"/>
      <c r="I604" s="863"/>
      <c r="J604" s="863"/>
      <c r="K604" s="864"/>
      <c r="L604" s="27"/>
      <c r="M604" s="1223"/>
      <c r="N604" s="61"/>
      <c r="O604" s="61"/>
    </row>
    <row r="605" spans="1:15" x14ac:dyDescent="0.2">
      <c r="A605" s="106"/>
      <c r="B605" s="375"/>
      <c r="C605" s="113"/>
      <c r="D605" s="359"/>
      <c r="E605" s="213"/>
      <c r="F605" s="46"/>
      <c r="G605" s="64"/>
      <c r="H605" s="136" t="s">
        <v>336</v>
      </c>
      <c r="I605" s="59"/>
      <c r="J605" s="59"/>
      <c r="K605" s="373"/>
    </row>
    <row r="606" spans="1:15" x14ac:dyDescent="0.2">
      <c r="A606" s="106"/>
      <c r="B606" s="375"/>
      <c r="C606" s="111">
        <v>170</v>
      </c>
      <c r="D606" s="98"/>
      <c r="E606" s="128" t="s">
        <v>1074</v>
      </c>
      <c r="F606" s="1"/>
      <c r="G606" s="38"/>
      <c r="H606" s="271" t="s">
        <v>1075</v>
      </c>
      <c r="I606" s="272"/>
      <c r="J606" s="272"/>
      <c r="K606" s="273"/>
    </row>
    <row r="607" spans="1:15" x14ac:dyDescent="0.2">
      <c r="A607" s="106"/>
      <c r="B607" s="375"/>
      <c r="C607" s="111"/>
      <c r="D607" s="98"/>
      <c r="E607" s="128"/>
      <c r="F607" s="95" t="s">
        <v>1076</v>
      </c>
      <c r="G607" s="154" t="s">
        <v>842</v>
      </c>
      <c r="H607" s="12" t="s">
        <v>13</v>
      </c>
      <c r="I607" s="1275">
        <v>100000</v>
      </c>
      <c r="J607" s="173"/>
      <c r="K607" s="160">
        <f>SUM(I607:J607)</f>
        <v>100000</v>
      </c>
    </row>
    <row r="608" spans="1:15" x14ac:dyDescent="0.2">
      <c r="A608" s="106"/>
      <c r="B608" s="375"/>
      <c r="C608" s="111"/>
      <c r="D608" s="98"/>
      <c r="E608" s="128"/>
      <c r="F608" s="95" t="s">
        <v>1077</v>
      </c>
      <c r="G608" s="154" t="s">
        <v>843</v>
      </c>
      <c r="H608" s="12" t="s">
        <v>14</v>
      </c>
      <c r="I608" s="1275">
        <v>1000</v>
      </c>
      <c r="J608" s="173"/>
      <c r="K608" s="160">
        <f t="shared" ref="K608" si="53">SUM(I608:J608)</f>
        <v>1000</v>
      </c>
    </row>
    <row r="609" spans="1:15" x14ac:dyDescent="0.2">
      <c r="A609" s="106"/>
      <c r="B609" s="375"/>
      <c r="C609" s="111"/>
      <c r="D609" s="98"/>
      <c r="E609" s="128"/>
      <c r="F609" s="1"/>
      <c r="G609" s="455"/>
      <c r="H609" s="97" t="s">
        <v>1078</v>
      </c>
      <c r="I609" s="173">
        <f>SUM(I607:I608)</f>
        <v>101000</v>
      </c>
      <c r="J609" s="173"/>
      <c r="K609" s="173">
        <f>SUM(I609:J609)</f>
        <v>101000</v>
      </c>
    </row>
    <row r="610" spans="1:15" x14ac:dyDescent="0.2">
      <c r="A610" s="106"/>
      <c r="B610" s="375"/>
      <c r="C610" s="111"/>
      <c r="D610" s="98"/>
      <c r="E610" s="128"/>
      <c r="F610" s="1"/>
      <c r="G610" s="38" t="s">
        <v>39</v>
      </c>
      <c r="H610" s="90" t="s">
        <v>40</v>
      </c>
      <c r="I610" s="133">
        <f>SUM(I609)</f>
        <v>101000</v>
      </c>
      <c r="J610" s="173"/>
      <c r="K610" s="160">
        <f>SUM(I610:J610)</f>
        <v>101000</v>
      </c>
    </row>
    <row r="611" spans="1:15" x14ac:dyDescent="0.2">
      <c r="A611" s="106"/>
      <c r="B611" s="375"/>
      <c r="C611" s="111"/>
      <c r="D611" s="98"/>
      <c r="E611" s="128"/>
      <c r="F611" s="1"/>
      <c r="G611" s="38"/>
      <c r="H611" s="97" t="s">
        <v>361</v>
      </c>
      <c r="I611" s="173">
        <f>SUM(I610)</f>
        <v>101000</v>
      </c>
      <c r="J611" s="173"/>
      <c r="K611" s="173">
        <f>SUM(I611:J611)</f>
        <v>101000</v>
      </c>
    </row>
    <row r="612" spans="1:15" x14ac:dyDescent="0.2">
      <c r="A612" s="106"/>
      <c r="B612" s="375"/>
      <c r="C612" s="113"/>
      <c r="D612" s="359"/>
      <c r="E612" s="213"/>
      <c r="F612" s="46"/>
      <c r="G612" s="64"/>
      <c r="H612" s="55"/>
      <c r="I612" s="59"/>
      <c r="J612" s="59"/>
      <c r="K612" s="373"/>
    </row>
    <row r="613" spans="1:15" s="642" customFormat="1" ht="22.5" x14ac:dyDescent="0.2">
      <c r="A613" s="94"/>
      <c r="B613" s="112"/>
      <c r="C613" s="111"/>
      <c r="D613" s="128" t="s">
        <v>671</v>
      </c>
      <c r="E613" s="128"/>
      <c r="F613" s="1"/>
      <c r="G613" s="38"/>
      <c r="H613" s="988" t="s">
        <v>1158</v>
      </c>
      <c r="I613" s="221">
        <f>SUM(I622)</f>
        <v>53900000</v>
      </c>
      <c r="J613" s="221"/>
      <c r="K613" s="222">
        <f>SUM(I613:J613)</f>
        <v>53900000</v>
      </c>
      <c r="L613" s="27"/>
      <c r="M613" s="1223"/>
      <c r="N613" s="61"/>
      <c r="O613" s="61"/>
    </row>
    <row r="614" spans="1:15" s="642" customFormat="1" x14ac:dyDescent="0.2">
      <c r="A614" s="94"/>
      <c r="B614" s="112"/>
      <c r="C614" s="111"/>
      <c r="D614" s="98"/>
      <c r="E614" s="128"/>
      <c r="F614" s="1"/>
      <c r="G614" s="38"/>
      <c r="H614" s="44"/>
      <c r="I614" s="47"/>
      <c r="J614" s="47"/>
      <c r="K614" s="199"/>
      <c r="L614" s="27"/>
      <c r="M614" s="1223"/>
      <c r="N614" s="61"/>
      <c r="O614" s="61"/>
    </row>
    <row r="615" spans="1:15" s="642" customFormat="1" x14ac:dyDescent="0.2">
      <c r="A615" s="94"/>
      <c r="B615" s="112"/>
      <c r="C615" s="111"/>
      <c r="D615" s="98"/>
      <c r="E615" s="176"/>
      <c r="F615" s="1"/>
      <c r="G615" s="38"/>
      <c r="H615" s="136" t="s">
        <v>334</v>
      </c>
      <c r="I615" s="139"/>
      <c r="J615" s="139"/>
      <c r="K615" s="140"/>
      <c r="L615" s="27"/>
      <c r="M615" s="1223"/>
      <c r="N615" s="61"/>
      <c r="O615" s="61"/>
    </row>
    <row r="616" spans="1:15" s="642" customFormat="1" x14ac:dyDescent="0.2">
      <c r="A616" s="94"/>
      <c r="B616" s="112"/>
      <c r="C616" s="111"/>
      <c r="D616" s="98"/>
      <c r="E616" s="128" t="s">
        <v>1159</v>
      </c>
      <c r="F616" s="1"/>
      <c r="G616" s="40"/>
      <c r="H616" s="137" t="s">
        <v>1160</v>
      </c>
      <c r="I616" s="141"/>
      <c r="J616" s="141"/>
      <c r="K616" s="793"/>
      <c r="L616" s="27"/>
      <c r="M616" s="1223"/>
      <c r="N616" s="61"/>
      <c r="O616" s="61"/>
    </row>
    <row r="617" spans="1:15" s="642" customFormat="1" x14ac:dyDescent="0.2">
      <c r="A617" s="94"/>
      <c r="B617" s="112"/>
      <c r="C617" s="789"/>
      <c r="D617" s="912"/>
      <c r="E617" s="148"/>
      <c r="F617" s="134"/>
      <c r="G617" s="165"/>
      <c r="H617" s="144"/>
      <c r="I617" s="145"/>
      <c r="J617" s="145"/>
      <c r="K617" s="794"/>
      <c r="L617" s="27"/>
      <c r="M617" s="1223"/>
      <c r="N617" s="61"/>
      <c r="O617" s="61"/>
    </row>
    <row r="618" spans="1:15" s="642" customFormat="1" x14ac:dyDescent="0.2">
      <c r="A618" s="94"/>
      <c r="B618" s="112"/>
      <c r="C618" s="111">
        <v>640</v>
      </c>
      <c r="D618" s="98"/>
      <c r="E618" s="128"/>
      <c r="F618" s="1"/>
      <c r="G618" s="40"/>
      <c r="H618" s="169" t="s">
        <v>811</v>
      </c>
      <c r="I618" s="611"/>
      <c r="J618" s="611"/>
      <c r="K618" s="916"/>
      <c r="L618" s="27"/>
      <c r="M618" s="1223"/>
      <c r="N618" s="61"/>
      <c r="O618" s="61"/>
    </row>
    <row r="619" spans="1:15" s="642" customFormat="1" x14ac:dyDescent="0.2">
      <c r="A619" s="94"/>
      <c r="B619" s="112"/>
      <c r="C619" s="111"/>
      <c r="D619" s="98"/>
      <c r="E619" s="128"/>
      <c r="F619" s="124">
        <v>85</v>
      </c>
      <c r="G619" s="95">
        <v>421</v>
      </c>
      <c r="H619" s="89" t="s">
        <v>7</v>
      </c>
      <c r="I619" s="160">
        <v>50400000</v>
      </c>
      <c r="J619" s="160"/>
      <c r="K619" s="160">
        <f>SUM(I619+J619)</f>
        <v>50400000</v>
      </c>
      <c r="L619" s="27"/>
      <c r="M619" s="1223"/>
      <c r="N619" s="61"/>
      <c r="O619" s="61"/>
    </row>
    <row r="620" spans="1:15" s="642" customFormat="1" x14ac:dyDescent="0.2">
      <c r="A620" s="94"/>
      <c r="B620" s="112"/>
      <c r="C620" s="111"/>
      <c r="D620" s="98"/>
      <c r="E620" s="128"/>
      <c r="F620" s="95" t="s">
        <v>1065</v>
      </c>
      <c r="G620" s="95">
        <v>424</v>
      </c>
      <c r="H620" s="90" t="s">
        <v>10</v>
      </c>
      <c r="I620" s="160">
        <v>1000000</v>
      </c>
      <c r="J620" s="160"/>
      <c r="K620" s="160">
        <f>SUM(I620+J620)</f>
        <v>1000000</v>
      </c>
      <c r="L620" s="27"/>
      <c r="M620" s="1223"/>
      <c r="N620" s="61"/>
      <c r="O620" s="61"/>
    </row>
    <row r="621" spans="1:15" s="642" customFormat="1" x14ac:dyDescent="0.2">
      <c r="A621" s="94"/>
      <c r="B621" s="112"/>
      <c r="C621" s="111"/>
      <c r="D621" s="98"/>
      <c r="E621" s="128"/>
      <c r="F621" s="95" t="s">
        <v>1084</v>
      </c>
      <c r="G621" s="95">
        <v>513</v>
      </c>
      <c r="H621" s="90" t="s">
        <v>22</v>
      </c>
      <c r="I621" s="160">
        <v>2500000</v>
      </c>
      <c r="J621" s="160"/>
      <c r="K621" s="160">
        <f>SUM(I621+J621)</f>
        <v>2500000</v>
      </c>
      <c r="L621" s="27"/>
      <c r="M621" s="1223"/>
      <c r="N621" s="61"/>
      <c r="O621" s="61"/>
    </row>
    <row r="622" spans="1:15" s="642" customFormat="1" x14ac:dyDescent="0.2">
      <c r="A622" s="94"/>
      <c r="B622" s="112"/>
      <c r="C622" s="111"/>
      <c r="D622" s="98"/>
      <c r="E622" s="128"/>
      <c r="F622" s="1"/>
      <c r="G622" s="1"/>
      <c r="H622" s="517" t="s">
        <v>1174</v>
      </c>
      <c r="I622" s="701">
        <f>SUM(I619:I621)</f>
        <v>53900000</v>
      </c>
      <c r="J622" s="701"/>
      <c r="K622" s="701">
        <f>SUM(I622:J622)</f>
        <v>53900000</v>
      </c>
      <c r="L622" s="27"/>
      <c r="M622" s="1223"/>
      <c r="N622" s="61"/>
      <c r="O622" s="61"/>
    </row>
    <row r="623" spans="1:15" s="642" customFormat="1" x14ac:dyDescent="0.2">
      <c r="A623" s="94"/>
      <c r="B623" s="112"/>
      <c r="C623" s="111"/>
      <c r="D623" s="98"/>
      <c r="E623" s="128"/>
      <c r="F623" s="1"/>
      <c r="G623" s="1"/>
      <c r="H623" s="138" t="s">
        <v>812</v>
      </c>
      <c r="I623" s="163">
        <f>SUM(I622)</f>
        <v>53900000</v>
      </c>
      <c r="J623" s="163"/>
      <c r="K623" s="164">
        <f>SUM(I622:J622)</f>
        <v>53900000</v>
      </c>
      <c r="L623" s="27"/>
      <c r="M623" s="1223"/>
      <c r="N623" s="61"/>
      <c r="O623" s="61"/>
    </row>
    <row r="624" spans="1:15" s="642" customFormat="1" x14ac:dyDescent="0.2">
      <c r="A624" s="94"/>
      <c r="B624" s="112"/>
      <c r="C624" s="111"/>
      <c r="D624" s="98"/>
      <c r="E624" s="128"/>
      <c r="F624" s="1"/>
      <c r="G624" s="38" t="s">
        <v>39</v>
      </c>
      <c r="H624" s="90" t="s">
        <v>40</v>
      </c>
      <c r="I624" s="160">
        <f>SUM(I622)</f>
        <v>53900000</v>
      </c>
      <c r="J624" s="160"/>
      <c r="K624" s="160">
        <f>SUM(I624+J624)</f>
        <v>53900000</v>
      </c>
      <c r="L624" s="27"/>
      <c r="M624" s="1223"/>
      <c r="N624" s="61"/>
      <c r="O624" s="61"/>
    </row>
    <row r="625" spans="1:15" s="642" customFormat="1" x14ac:dyDescent="0.2">
      <c r="A625" s="94"/>
      <c r="B625" s="112"/>
      <c r="C625" s="111"/>
      <c r="D625" s="98"/>
      <c r="E625" s="128"/>
      <c r="F625" s="1"/>
      <c r="G625" s="38"/>
      <c r="H625" s="96" t="s">
        <v>813</v>
      </c>
      <c r="I625" s="161">
        <f>SUM(I622)</f>
        <v>53900000</v>
      </c>
      <c r="J625" s="161"/>
      <c r="K625" s="161">
        <f t="shared" ref="K625" si="54">SUM(K622)</f>
        <v>53900000</v>
      </c>
      <c r="L625" s="27"/>
      <c r="M625" s="1223"/>
      <c r="N625" s="61"/>
      <c r="O625" s="61"/>
    </row>
    <row r="626" spans="1:15" s="642" customFormat="1" x14ac:dyDescent="0.2">
      <c r="A626" s="94"/>
      <c r="B626" s="112"/>
      <c r="C626" s="111"/>
      <c r="D626" s="98"/>
      <c r="E626" s="128"/>
      <c r="F626" s="1"/>
      <c r="G626" s="38"/>
      <c r="H626" s="44"/>
      <c r="I626" s="47"/>
      <c r="J626" s="47"/>
      <c r="K626" s="47"/>
      <c r="L626" s="27"/>
      <c r="M626" s="1223"/>
      <c r="N626" s="61"/>
      <c r="O626" s="61"/>
    </row>
    <row r="627" spans="1:15" s="642" customFormat="1" x14ac:dyDescent="0.2">
      <c r="A627" s="94"/>
      <c r="B627" s="112"/>
      <c r="C627" s="111"/>
      <c r="D627" s="98">
        <v>1102</v>
      </c>
      <c r="E627" s="128"/>
      <c r="F627" s="1"/>
      <c r="G627" s="38"/>
      <c r="H627" s="220" t="s">
        <v>560</v>
      </c>
      <c r="I627" s="221">
        <f>SUM(I633+I641)</f>
        <v>42010000</v>
      </c>
      <c r="J627" s="221"/>
      <c r="K627" s="222">
        <f>SUM(I627:J627)</f>
        <v>42010000</v>
      </c>
      <c r="L627" s="27"/>
      <c r="M627" s="1223"/>
      <c r="N627" s="61"/>
      <c r="O627" s="61"/>
    </row>
    <row r="628" spans="1:15" x14ac:dyDescent="0.2">
      <c r="A628" s="106"/>
      <c r="B628" s="375"/>
      <c r="C628" s="113"/>
      <c r="D628" s="359"/>
      <c r="E628" s="213"/>
      <c r="F628" s="46"/>
      <c r="G628" s="64"/>
      <c r="H628" s="367"/>
      <c r="I628" s="59"/>
      <c r="J628" s="59"/>
      <c r="K628" s="373"/>
    </row>
    <row r="629" spans="1:15" s="642" customFormat="1" x14ac:dyDescent="0.2">
      <c r="A629" s="94"/>
      <c r="B629" s="112"/>
      <c r="C629" s="111">
        <v>620</v>
      </c>
      <c r="D629" s="98"/>
      <c r="E629" s="128">
        <v>1102</v>
      </c>
      <c r="F629" s="1"/>
      <c r="G629" s="38"/>
      <c r="H629" s="271" t="s">
        <v>841</v>
      </c>
      <c r="I629" s="272"/>
      <c r="J629" s="272"/>
      <c r="K629" s="273"/>
      <c r="L629" s="27"/>
      <c r="M629" s="1223"/>
      <c r="N629" s="61"/>
      <c r="O629" s="61"/>
    </row>
    <row r="630" spans="1:15" s="642" customFormat="1" x14ac:dyDescent="0.2">
      <c r="A630" s="94"/>
      <c r="B630" s="112"/>
      <c r="C630" s="111"/>
      <c r="D630" s="98"/>
      <c r="E630" s="128"/>
      <c r="F630" s="95">
        <v>86</v>
      </c>
      <c r="G630" s="154" t="s">
        <v>842</v>
      </c>
      <c r="H630" s="90" t="s">
        <v>13</v>
      </c>
      <c r="I630" s="1275">
        <v>2800000</v>
      </c>
      <c r="J630" s="161"/>
      <c r="K630" s="160">
        <f t="shared" ref="K630:K635" si="55">SUM(I630:J630)</f>
        <v>2800000</v>
      </c>
      <c r="L630" s="27"/>
      <c r="M630" s="1223"/>
      <c r="N630" s="61"/>
      <c r="O630" s="61"/>
    </row>
    <row r="631" spans="1:15" s="642" customFormat="1" x14ac:dyDescent="0.2">
      <c r="A631" s="94"/>
      <c r="B631" s="112"/>
      <c r="C631" s="111"/>
      <c r="D631" s="98"/>
      <c r="E631" s="128"/>
      <c r="F631" s="95">
        <v>87</v>
      </c>
      <c r="G631" s="154" t="s">
        <v>843</v>
      </c>
      <c r="H631" s="90" t="s">
        <v>14</v>
      </c>
      <c r="I631" s="1275">
        <v>10000</v>
      </c>
      <c r="J631" s="161"/>
      <c r="K631" s="160">
        <f t="shared" si="55"/>
        <v>10000</v>
      </c>
      <c r="L631" s="27"/>
      <c r="M631" s="1223"/>
      <c r="N631" s="61"/>
      <c r="O631" s="61"/>
    </row>
    <row r="632" spans="1:15" s="642" customFormat="1" x14ac:dyDescent="0.2">
      <c r="A632" s="94"/>
      <c r="B632" s="112"/>
      <c r="C632" s="111"/>
      <c r="D632" s="98"/>
      <c r="E632" s="128"/>
      <c r="F632" s="95">
        <v>88</v>
      </c>
      <c r="G632" s="154" t="s">
        <v>699</v>
      </c>
      <c r="H632" s="90" t="s">
        <v>21</v>
      </c>
      <c r="I632" s="1275">
        <v>22000000</v>
      </c>
      <c r="J632" s="161"/>
      <c r="K632" s="160">
        <f t="shared" si="55"/>
        <v>22000000</v>
      </c>
      <c r="L632" s="26"/>
      <c r="M632" s="1223"/>
      <c r="N632" s="61"/>
      <c r="O632" s="61"/>
    </row>
    <row r="633" spans="1:15" s="642" customFormat="1" ht="22.5" x14ac:dyDescent="0.2">
      <c r="A633" s="94"/>
      <c r="B633" s="112"/>
      <c r="C633" s="111"/>
      <c r="D633" s="98"/>
      <c r="E633" s="128"/>
      <c r="F633" s="1"/>
      <c r="G633" s="38"/>
      <c r="H633" s="153" t="s">
        <v>844</v>
      </c>
      <c r="I633" s="161">
        <f>SUM(I630:I632)</f>
        <v>24810000</v>
      </c>
      <c r="J633" s="161"/>
      <c r="K633" s="161">
        <f t="shared" si="55"/>
        <v>24810000</v>
      </c>
      <c r="L633" s="27"/>
      <c r="M633" s="1223"/>
      <c r="N633" s="61"/>
      <c r="O633" s="61"/>
    </row>
    <row r="634" spans="1:15" s="642" customFormat="1" x14ac:dyDescent="0.2">
      <c r="A634" s="94"/>
      <c r="B634" s="112"/>
      <c r="C634" s="111"/>
      <c r="D634" s="98"/>
      <c r="E634" s="128"/>
      <c r="F634" s="1"/>
      <c r="G634" s="38" t="s">
        <v>39</v>
      </c>
      <c r="H634" s="90" t="s">
        <v>40</v>
      </c>
      <c r="I634" s="160">
        <f>SUM(I633)</f>
        <v>24810000</v>
      </c>
      <c r="J634" s="161"/>
      <c r="K634" s="160">
        <f t="shared" si="55"/>
        <v>24810000</v>
      </c>
      <c r="L634" s="27"/>
      <c r="M634" s="1223"/>
      <c r="N634" s="61"/>
      <c r="O634" s="61"/>
    </row>
    <row r="635" spans="1:15" s="642" customFormat="1" x14ac:dyDescent="0.2">
      <c r="A635" s="94"/>
      <c r="B635" s="112"/>
      <c r="C635" s="111"/>
      <c r="D635" s="98"/>
      <c r="E635" s="128"/>
      <c r="F635" s="1"/>
      <c r="G635" s="38"/>
      <c r="H635" s="957" t="s">
        <v>361</v>
      </c>
      <c r="I635" s="161">
        <f>SUM(I634)</f>
        <v>24810000</v>
      </c>
      <c r="J635" s="161"/>
      <c r="K635" s="161">
        <f t="shared" si="55"/>
        <v>24810000</v>
      </c>
      <c r="L635" s="27"/>
      <c r="M635" s="1223"/>
      <c r="N635" s="61"/>
      <c r="O635" s="61"/>
    </row>
    <row r="636" spans="1:15" s="642" customFormat="1" x14ac:dyDescent="0.2">
      <c r="A636" s="94"/>
      <c r="B636" s="112"/>
      <c r="C636" s="111"/>
      <c r="D636" s="98"/>
      <c r="E636" s="128"/>
      <c r="F636" s="1"/>
      <c r="G636" s="38"/>
      <c r="H636" s="508"/>
      <c r="I636" s="509"/>
      <c r="J636" s="509"/>
      <c r="K636" s="509"/>
      <c r="L636" s="48"/>
      <c r="M636" s="1223"/>
      <c r="N636" s="61"/>
      <c r="O636" s="61"/>
    </row>
    <row r="637" spans="1:15" s="642" customFormat="1" x14ac:dyDescent="0.2">
      <c r="A637" s="94"/>
      <c r="B637" s="112"/>
      <c r="C637" s="111">
        <v>620</v>
      </c>
      <c r="D637" s="98"/>
      <c r="E637" s="128" t="s">
        <v>559</v>
      </c>
      <c r="F637" s="1"/>
      <c r="G637" s="38"/>
      <c r="H637" s="271" t="s">
        <v>1029</v>
      </c>
      <c r="I637" s="272"/>
      <c r="J637" s="272"/>
      <c r="K637" s="273"/>
      <c r="L637" s="27"/>
      <c r="M637" s="1223"/>
      <c r="N637" s="61"/>
      <c r="O637" s="61"/>
    </row>
    <row r="638" spans="1:15" s="642" customFormat="1" x14ac:dyDescent="0.2">
      <c r="A638" s="94"/>
      <c r="B638" s="112"/>
      <c r="C638" s="111"/>
      <c r="D638" s="98"/>
      <c r="E638" s="128"/>
      <c r="F638" s="95" t="s">
        <v>1030</v>
      </c>
      <c r="G638" s="154" t="s">
        <v>842</v>
      </c>
      <c r="H638" s="90" t="s">
        <v>13</v>
      </c>
      <c r="I638" s="160">
        <v>1000000</v>
      </c>
      <c r="J638" s="161"/>
      <c r="K638" s="160">
        <f t="shared" ref="K638:K643" si="56">SUM(I638:J638)</f>
        <v>1000000</v>
      </c>
      <c r="L638" s="27"/>
      <c r="M638" s="1223"/>
      <c r="N638" s="61"/>
      <c r="O638" s="61"/>
    </row>
    <row r="639" spans="1:15" s="642" customFormat="1" x14ac:dyDescent="0.2">
      <c r="A639" s="94"/>
      <c r="B639" s="112"/>
      <c r="C639" s="111"/>
      <c r="D639" s="98"/>
      <c r="E639" s="128"/>
      <c r="F639" s="95" t="s">
        <v>1031</v>
      </c>
      <c r="G639" s="154" t="s">
        <v>843</v>
      </c>
      <c r="H639" s="90" t="s">
        <v>14</v>
      </c>
      <c r="I639" s="160">
        <v>200000</v>
      </c>
      <c r="J639" s="161"/>
      <c r="K639" s="160">
        <f t="shared" si="56"/>
        <v>200000</v>
      </c>
      <c r="L639" s="27"/>
      <c r="M639" s="1223"/>
      <c r="N639" s="61"/>
      <c r="O639" s="61"/>
    </row>
    <row r="640" spans="1:15" s="642" customFormat="1" x14ac:dyDescent="0.2">
      <c r="A640" s="94"/>
      <c r="B640" s="112"/>
      <c r="C640" s="111"/>
      <c r="D640" s="98"/>
      <c r="E640" s="128"/>
      <c r="F640" s="95" t="s">
        <v>1032</v>
      </c>
      <c r="G640" s="154" t="s">
        <v>699</v>
      </c>
      <c r="H640" s="90" t="s">
        <v>21</v>
      </c>
      <c r="I640" s="160">
        <v>16000000</v>
      </c>
      <c r="J640" s="161"/>
      <c r="K640" s="160">
        <f t="shared" si="56"/>
        <v>16000000</v>
      </c>
      <c r="L640" s="26"/>
      <c r="M640" s="1223"/>
      <c r="N640" s="61"/>
      <c r="O640" s="61"/>
    </row>
    <row r="641" spans="1:15" s="642" customFormat="1" x14ac:dyDescent="0.2">
      <c r="A641" s="94"/>
      <c r="B641" s="112"/>
      <c r="C641" s="111"/>
      <c r="D641" s="98"/>
      <c r="E641" s="128"/>
      <c r="F641" s="1"/>
      <c r="G641" s="38"/>
      <c r="H641" s="153" t="s">
        <v>1033</v>
      </c>
      <c r="I641" s="161">
        <f>SUM(I638:I640)</f>
        <v>17200000</v>
      </c>
      <c r="J641" s="161"/>
      <c r="K641" s="161">
        <f t="shared" si="56"/>
        <v>17200000</v>
      </c>
      <c r="L641" s="27"/>
      <c r="M641" s="1223"/>
      <c r="N641" s="61"/>
      <c r="O641" s="61"/>
    </row>
    <row r="642" spans="1:15" s="642" customFormat="1" x14ac:dyDescent="0.2">
      <c r="A642" s="94"/>
      <c r="B642" s="112"/>
      <c r="C642" s="111"/>
      <c r="D642" s="98"/>
      <c r="E642" s="128"/>
      <c r="F642" s="1"/>
      <c r="G642" s="38" t="s">
        <v>39</v>
      </c>
      <c r="H642" s="90" t="s">
        <v>40</v>
      </c>
      <c r="I642" s="160">
        <f>SUM(I641)</f>
        <v>17200000</v>
      </c>
      <c r="J642" s="161"/>
      <c r="K642" s="160">
        <f t="shared" si="56"/>
        <v>17200000</v>
      </c>
      <c r="L642" s="27"/>
      <c r="M642" s="1223"/>
      <c r="N642" s="61"/>
      <c r="O642" s="61"/>
    </row>
    <row r="643" spans="1:15" s="642" customFormat="1" x14ac:dyDescent="0.2">
      <c r="A643" s="94"/>
      <c r="B643" s="112"/>
      <c r="C643" s="111"/>
      <c r="D643" s="98"/>
      <c r="E643" s="128"/>
      <c r="F643" s="1"/>
      <c r="G643" s="38"/>
      <c r="H643" s="97" t="s">
        <v>361</v>
      </c>
      <c r="I643" s="161">
        <f>SUM(I642)</f>
        <v>17200000</v>
      </c>
      <c r="J643" s="161"/>
      <c r="K643" s="161">
        <f t="shared" si="56"/>
        <v>17200000</v>
      </c>
      <c r="L643" s="27"/>
      <c r="M643" s="1223"/>
      <c r="N643" s="61"/>
      <c r="O643" s="61"/>
    </row>
    <row r="644" spans="1:15" x14ac:dyDescent="0.2">
      <c r="A644" s="106"/>
      <c r="B644" s="375"/>
      <c r="C644" s="113"/>
      <c r="D644" s="359"/>
      <c r="E644" s="213"/>
      <c r="F644" s="46"/>
      <c r="G644" s="64"/>
      <c r="H644" s="367"/>
      <c r="I644" s="59"/>
      <c r="J644" s="59"/>
      <c r="K644" s="59"/>
      <c r="L644" s="298"/>
    </row>
    <row r="645" spans="1:15" s="642" customFormat="1" x14ac:dyDescent="0.2">
      <c r="A645" s="94"/>
      <c r="B645" s="112"/>
      <c r="C645" s="111"/>
      <c r="D645" s="128" t="s">
        <v>296</v>
      </c>
      <c r="E645" s="128"/>
      <c r="F645" s="1"/>
      <c r="G645" s="38"/>
      <c r="H645" s="220" t="s">
        <v>535</v>
      </c>
      <c r="I645" s="958">
        <f>SUM(I672+I679+I684+I695+I706+I713+I725+I732+I718)</f>
        <v>58006487</v>
      </c>
      <c r="J645" s="958"/>
      <c r="K645" s="959">
        <f>SUM(I645:J645)</f>
        <v>58006487</v>
      </c>
      <c r="L645" s="27"/>
      <c r="M645" s="1223"/>
      <c r="N645" s="61"/>
      <c r="O645" s="61"/>
    </row>
    <row r="646" spans="1:15" s="642" customFormat="1" x14ac:dyDescent="0.2">
      <c r="A646" s="94"/>
      <c r="B646" s="112"/>
      <c r="C646" s="111"/>
      <c r="D646" s="98"/>
      <c r="E646" s="128"/>
      <c r="F646" s="1"/>
      <c r="G646" s="38"/>
      <c r="H646" s="44"/>
      <c r="I646" s="960"/>
      <c r="J646" s="960"/>
      <c r="K646" s="961"/>
      <c r="L646" s="27"/>
      <c r="M646" s="1223"/>
      <c r="N646" s="61"/>
      <c r="O646" s="61"/>
    </row>
    <row r="647" spans="1:15" s="642" customFormat="1" x14ac:dyDescent="0.2">
      <c r="A647" s="94"/>
      <c r="B647" s="112"/>
      <c r="C647" s="111"/>
      <c r="D647" s="98"/>
      <c r="E647" s="176"/>
      <c r="F647" s="1"/>
      <c r="G647" s="38"/>
      <c r="H647" s="136" t="s">
        <v>294</v>
      </c>
      <c r="I647" s="139"/>
      <c r="J647" s="139"/>
      <c r="K647" s="140"/>
      <c r="L647" s="27"/>
      <c r="M647" s="1223"/>
      <c r="N647" s="61"/>
      <c r="O647" s="61"/>
    </row>
    <row r="648" spans="1:15" s="642" customFormat="1" x14ac:dyDescent="0.2">
      <c r="A648" s="94"/>
      <c r="B648" s="112"/>
      <c r="C648" s="111"/>
      <c r="D648" s="98"/>
      <c r="E648" s="128" t="s">
        <v>329</v>
      </c>
      <c r="F648" s="1"/>
      <c r="G648" s="40"/>
      <c r="H648" s="137" t="s">
        <v>548</v>
      </c>
      <c r="I648" s="186"/>
      <c r="J648" s="186"/>
      <c r="K648" s="181"/>
      <c r="L648" s="27"/>
      <c r="M648" s="1223"/>
      <c r="N648" s="61"/>
      <c r="O648" s="61"/>
    </row>
    <row r="649" spans="1:15" s="642" customFormat="1" x14ac:dyDescent="0.2">
      <c r="A649" s="94"/>
      <c r="B649" s="112"/>
      <c r="C649" s="111"/>
      <c r="D649" s="98"/>
      <c r="E649" s="128"/>
      <c r="F649" s="1"/>
      <c r="G649" s="38"/>
      <c r="H649" s="44"/>
      <c r="I649" s="48"/>
      <c r="J649" s="48"/>
      <c r="K649" s="205"/>
      <c r="L649" s="27"/>
      <c r="M649" s="1223"/>
      <c r="N649" s="61"/>
      <c r="O649" s="61"/>
    </row>
    <row r="650" spans="1:15" s="642" customFormat="1" ht="22.5" x14ac:dyDescent="0.2">
      <c r="A650" s="94"/>
      <c r="B650" s="111"/>
      <c r="C650" s="111">
        <v>160</v>
      </c>
      <c r="D650" s="98"/>
      <c r="E650" s="128"/>
      <c r="F650" s="1"/>
      <c r="G650" s="40"/>
      <c r="H650" s="962" t="s">
        <v>374</v>
      </c>
      <c r="I650" s="163"/>
      <c r="J650" s="163"/>
      <c r="K650" s="164"/>
      <c r="L650" s="27"/>
      <c r="M650" s="1223"/>
      <c r="N650" s="61"/>
      <c r="O650" s="61"/>
    </row>
    <row r="651" spans="1:15" s="642" customFormat="1" x14ac:dyDescent="0.2">
      <c r="A651" s="94"/>
      <c r="B651" s="111"/>
      <c r="C651" s="111"/>
      <c r="D651" s="98"/>
      <c r="E651" s="128"/>
      <c r="F651" s="1"/>
      <c r="G651" s="40"/>
      <c r="H651" s="56"/>
      <c r="I651" s="48"/>
      <c r="J651" s="48"/>
      <c r="K651" s="205"/>
      <c r="L651" s="27"/>
      <c r="M651" s="1223"/>
      <c r="N651" s="61"/>
      <c r="O651" s="61"/>
    </row>
    <row r="652" spans="1:15" s="642" customFormat="1" x14ac:dyDescent="0.2">
      <c r="A652" s="94"/>
      <c r="B652" s="948" t="s">
        <v>63</v>
      </c>
      <c r="C652" s="111"/>
      <c r="D652" s="98"/>
      <c r="E652" s="128"/>
      <c r="F652" s="1"/>
      <c r="G652" s="40"/>
      <c r="H652" s="168" t="s">
        <v>64</v>
      </c>
      <c r="I652" s="163"/>
      <c r="J652" s="163"/>
      <c r="K652" s="164"/>
      <c r="L652" s="27"/>
      <c r="M652" s="1223"/>
      <c r="N652" s="61"/>
      <c r="O652" s="61"/>
    </row>
    <row r="653" spans="1:15" x14ac:dyDescent="0.2">
      <c r="A653" s="106"/>
      <c r="B653" s="394"/>
      <c r="C653" s="113"/>
      <c r="D653" s="359"/>
      <c r="E653" s="213"/>
      <c r="F653" s="46"/>
      <c r="G653" s="219"/>
      <c r="H653" s="279"/>
      <c r="I653" s="223"/>
      <c r="J653" s="223"/>
      <c r="K653" s="280"/>
    </row>
    <row r="654" spans="1:15" s="642" customFormat="1" ht="15" customHeight="1" x14ac:dyDescent="0.2">
      <c r="A654" s="94"/>
      <c r="B654" s="112"/>
      <c r="C654" s="111"/>
      <c r="D654" s="98"/>
      <c r="E654" s="128"/>
      <c r="F654" s="124">
        <v>89</v>
      </c>
      <c r="G654" s="95">
        <v>411</v>
      </c>
      <c r="H654" s="90" t="s">
        <v>2</v>
      </c>
      <c r="I654" s="1275">
        <f>3672604+500</f>
        <v>3673104</v>
      </c>
      <c r="J654" s="160"/>
      <c r="K654" s="160">
        <f t="shared" ref="K654:K670" si="57">SUM(I654:J654)</f>
        <v>3673104</v>
      </c>
      <c r="L654" s="27"/>
      <c r="M654" s="1223"/>
      <c r="N654" s="61"/>
      <c r="O654" s="61"/>
    </row>
    <row r="655" spans="1:15" s="642" customFormat="1" x14ac:dyDescent="0.2">
      <c r="A655" s="94"/>
      <c r="B655" s="112"/>
      <c r="C655" s="111"/>
      <c r="D655" s="98"/>
      <c r="E655" s="128"/>
      <c r="F655" s="124">
        <v>90</v>
      </c>
      <c r="G655" s="95">
        <v>412</v>
      </c>
      <c r="H655" s="89" t="s">
        <v>3</v>
      </c>
      <c r="I655" s="1275">
        <f>657396+100</f>
        <v>657496</v>
      </c>
      <c r="J655" s="160"/>
      <c r="K655" s="160">
        <f t="shared" si="57"/>
        <v>657496</v>
      </c>
      <c r="L655" s="27"/>
      <c r="M655" s="1223"/>
      <c r="N655" s="61"/>
      <c r="O655" s="61"/>
    </row>
    <row r="656" spans="1:15" s="642" customFormat="1" x14ac:dyDescent="0.2">
      <c r="A656" s="94"/>
      <c r="B656" s="112"/>
      <c r="C656" s="111"/>
      <c r="D656" s="98"/>
      <c r="E656" s="128"/>
      <c r="F656" s="124">
        <v>91</v>
      </c>
      <c r="G656" s="95">
        <v>414</v>
      </c>
      <c r="H656" s="89" t="s">
        <v>35</v>
      </c>
      <c r="I656" s="1275">
        <v>798609</v>
      </c>
      <c r="J656" s="160"/>
      <c r="K656" s="160">
        <v>798609</v>
      </c>
      <c r="L656" s="27"/>
      <c r="M656" s="1223"/>
      <c r="N656" s="61"/>
      <c r="O656" s="61"/>
    </row>
    <row r="657" spans="1:15" s="642" customFormat="1" x14ac:dyDescent="0.2">
      <c r="A657" s="94"/>
      <c r="B657" s="112"/>
      <c r="C657" s="111"/>
      <c r="D657" s="98"/>
      <c r="E657" s="128"/>
      <c r="F657" s="124">
        <v>92</v>
      </c>
      <c r="G657" s="95">
        <v>415</v>
      </c>
      <c r="H657" s="89" t="s">
        <v>5</v>
      </c>
      <c r="I657" s="160">
        <v>25000</v>
      </c>
      <c r="J657" s="160"/>
      <c r="K657" s="160">
        <f t="shared" si="57"/>
        <v>25000</v>
      </c>
      <c r="L657" s="27"/>
      <c r="M657" s="1223"/>
      <c r="N657" s="61"/>
      <c r="O657" s="61"/>
    </row>
    <row r="658" spans="1:15" s="642" customFormat="1" x14ac:dyDescent="0.2">
      <c r="A658" s="94"/>
      <c r="B658" s="112"/>
      <c r="C658" s="111"/>
      <c r="D658" s="98"/>
      <c r="E658" s="128"/>
      <c r="F658" s="124">
        <v>93</v>
      </c>
      <c r="G658" s="95">
        <v>421</v>
      </c>
      <c r="H658" s="89" t="s">
        <v>7</v>
      </c>
      <c r="I658" s="160">
        <v>4071300</v>
      </c>
      <c r="J658" s="160"/>
      <c r="K658" s="160">
        <f t="shared" si="57"/>
        <v>4071300</v>
      </c>
      <c r="L658" s="27"/>
      <c r="M658" s="1223"/>
      <c r="N658" s="61"/>
      <c r="O658" s="61"/>
    </row>
    <row r="659" spans="1:15" s="642" customFormat="1" x14ac:dyDescent="0.2">
      <c r="A659" s="94"/>
      <c r="B659" s="112"/>
      <c r="C659" s="111"/>
      <c r="D659" s="98"/>
      <c r="E659" s="128"/>
      <c r="F659" s="124">
        <v>94</v>
      </c>
      <c r="G659" s="95">
        <v>422</v>
      </c>
      <c r="H659" s="90" t="s">
        <v>8</v>
      </c>
      <c r="I659" s="160">
        <v>420500</v>
      </c>
      <c r="J659" s="160"/>
      <c r="K659" s="160">
        <f t="shared" si="57"/>
        <v>420500</v>
      </c>
      <c r="L659" s="27"/>
      <c r="M659" s="1223"/>
      <c r="N659" s="61"/>
      <c r="O659" s="61"/>
    </row>
    <row r="660" spans="1:15" s="642" customFormat="1" x14ac:dyDescent="0.2">
      <c r="A660" s="94"/>
      <c r="B660" s="112"/>
      <c r="C660" s="111"/>
      <c r="D660" s="98"/>
      <c r="E660" s="128"/>
      <c r="F660" s="124">
        <v>95</v>
      </c>
      <c r="G660" s="95">
        <v>423</v>
      </c>
      <c r="H660" s="90" t="s">
        <v>9</v>
      </c>
      <c r="I660" s="160">
        <v>6615600</v>
      </c>
      <c r="J660" s="160"/>
      <c r="K660" s="160">
        <f t="shared" si="57"/>
        <v>6615600</v>
      </c>
      <c r="L660" s="27"/>
      <c r="M660" s="1223"/>
      <c r="N660" s="61"/>
      <c r="O660" s="61"/>
    </row>
    <row r="661" spans="1:15" s="642" customFormat="1" x14ac:dyDescent="0.2">
      <c r="A661" s="94"/>
      <c r="B661" s="112"/>
      <c r="C661" s="111"/>
      <c r="D661" s="98"/>
      <c r="E661" s="128"/>
      <c r="F661" s="124">
        <v>96</v>
      </c>
      <c r="G661" s="95">
        <v>424</v>
      </c>
      <c r="H661" s="90" t="s">
        <v>10</v>
      </c>
      <c r="I661" s="160">
        <v>732000</v>
      </c>
      <c r="J661" s="160"/>
      <c r="K661" s="160">
        <f t="shared" si="57"/>
        <v>732000</v>
      </c>
      <c r="L661" s="27"/>
      <c r="M661" s="1223"/>
      <c r="N661" s="61"/>
      <c r="O661" s="61"/>
    </row>
    <row r="662" spans="1:15" s="642" customFormat="1" x14ac:dyDescent="0.2">
      <c r="A662" s="94"/>
      <c r="B662" s="112"/>
      <c r="C662" s="111"/>
      <c r="D662" s="98"/>
      <c r="E662" s="128"/>
      <c r="F662" s="124">
        <v>97</v>
      </c>
      <c r="G662" s="95">
        <v>425</v>
      </c>
      <c r="H662" s="90" t="s">
        <v>11</v>
      </c>
      <c r="I662" s="160">
        <v>8589787</v>
      </c>
      <c r="J662" s="160"/>
      <c r="K662" s="160">
        <f t="shared" si="57"/>
        <v>8589787</v>
      </c>
      <c r="L662" s="27"/>
      <c r="M662" s="1223"/>
      <c r="N662" s="61"/>
      <c r="O662" s="61"/>
    </row>
    <row r="663" spans="1:15" s="642" customFormat="1" x14ac:dyDescent="0.2">
      <c r="A663" s="94"/>
      <c r="B663" s="112"/>
      <c r="C663" s="111"/>
      <c r="D663" s="98"/>
      <c r="E663" s="128"/>
      <c r="F663" s="124">
        <v>98</v>
      </c>
      <c r="G663" s="95">
        <v>426</v>
      </c>
      <c r="H663" s="90" t="s">
        <v>36</v>
      </c>
      <c r="I663" s="1275">
        <v>1701000</v>
      </c>
      <c r="J663" s="160"/>
      <c r="K663" s="160">
        <v>1701000</v>
      </c>
      <c r="L663" s="27"/>
      <c r="M663" s="1223"/>
      <c r="N663" s="61"/>
      <c r="O663" s="61"/>
    </row>
    <row r="664" spans="1:15" s="642" customFormat="1" x14ac:dyDescent="0.2">
      <c r="A664" s="94"/>
      <c r="B664" s="112"/>
      <c r="C664" s="111"/>
      <c r="D664" s="98"/>
      <c r="E664" s="128"/>
      <c r="F664" s="124">
        <v>99</v>
      </c>
      <c r="G664" s="95">
        <v>441</v>
      </c>
      <c r="H664" s="90" t="s">
        <v>13</v>
      </c>
      <c r="I664" s="160">
        <v>21000</v>
      </c>
      <c r="J664" s="160"/>
      <c r="K664" s="160">
        <f t="shared" si="57"/>
        <v>21000</v>
      </c>
      <c r="L664" s="27"/>
      <c r="M664" s="1223"/>
      <c r="N664" s="61"/>
      <c r="O664" s="61"/>
    </row>
    <row r="665" spans="1:15" s="642" customFormat="1" x14ac:dyDescent="0.2">
      <c r="A665" s="94"/>
      <c r="B665" s="112"/>
      <c r="C665" s="111"/>
      <c r="D665" s="98"/>
      <c r="E665" s="128"/>
      <c r="F665" s="124">
        <v>100</v>
      </c>
      <c r="G665" s="95">
        <v>444</v>
      </c>
      <c r="H665" s="90" t="s">
        <v>14</v>
      </c>
      <c r="I665" s="160">
        <v>42000</v>
      </c>
      <c r="J665" s="160"/>
      <c r="K665" s="160">
        <f t="shared" si="57"/>
        <v>42000</v>
      </c>
      <c r="L665" s="27"/>
      <c r="M665" s="1223"/>
      <c r="N665" s="61"/>
      <c r="O665" s="61"/>
    </row>
    <row r="666" spans="1:15" s="642" customFormat="1" x14ac:dyDescent="0.2">
      <c r="A666" s="94"/>
      <c r="B666" s="112"/>
      <c r="C666" s="111"/>
      <c r="D666" s="98"/>
      <c r="E666" s="128"/>
      <c r="F666" s="124">
        <v>101</v>
      </c>
      <c r="G666" s="95">
        <v>465</v>
      </c>
      <c r="H666" s="90" t="s">
        <v>218</v>
      </c>
      <c r="I666" s="1275">
        <v>435591</v>
      </c>
      <c r="J666" s="160"/>
      <c r="K666" s="160">
        <v>435591</v>
      </c>
      <c r="L666" s="27"/>
      <c r="M666" s="1223"/>
      <c r="N666" s="61"/>
      <c r="O666" s="61"/>
    </row>
    <row r="667" spans="1:15" s="642" customFormat="1" x14ac:dyDescent="0.2">
      <c r="A667" s="94"/>
      <c r="B667" s="112"/>
      <c r="C667" s="111"/>
      <c r="D667" s="98"/>
      <c r="E667" s="128"/>
      <c r="F667" s="124">
        <v>102</v>
      </c>
      <c r="G667" s="95">
        <v>482</v>
      </c>
      <c r="H667" s="90" t="s">
        <v>65</v>
      </c>
      <c r="I667" s="160">
        <v>299500</v>
      </c>
      <c r="J667" s="160"/>
      <c r="K667" s="160">
        <v>299500</v>
      </c>
      <c r="L667" s="27"/>
      <c r="M667" s="1223"/>
      <c r="N667" s="61"/>
      <c r="O667" s="61"/>
    </row>
    <row r="668" spans="1:15" s="642" customFormat="1" x14ac:dyDescent="0.2">
      <c r="A668" s="94"/>
      <c r="B668" s="112"/>
      <c r="C668" s="111"/>
      <c r="D668" s="98"/>
      <c r="E668" s="128"/>
      <c r="F668" s="124">
        <v>103</v>
      </c>
      <c r="G668" s="95">
        <v>483</v>
      </c>
      <c r="H668" s="89" t="s">
        <v>18</v>
      </c>
      <c r="I668" s="160">
        <v>62000</v>
      </c>
      <c r="J668" s="160"/>
      <c r="K668" s="160">
        <f t="shared" si="57"/>
        <v>62000</v>
      </c>
      <c r="L668" s="27"/>
      <c r="M668" s="1223"/>
      <c r="N668" s="61"/>
      <c r="O668" s="61"/>
    </row>
    <row r="669" spans="1:15" s="642" customFormat="1" x14ac:dyDescent="0.2">
      <c r="A669" s="94"/>
      <c r="B669" s="112"/>
      <c r="C669" s="111"/>
      <c r="D669" s="98"/>
      <c r="E669" s="128"/>
      <c r="F669" s="124">
        <v>104</v>
      </c>
      <c r="G669" s="95">
        <v>511</v>
      </c>
      <c r="H669" s="90" t="s">
        <v>20</v>
      </c>
      <c r="I669" s="160">
        <v>160000</v>
      </c>
      <c r="J669" s="160"/>
      <c r="K669" s="160">
        <f t="shared" si="57"/>
        <v>160000</v>
      </c>
      <c r="L669" s="27"/>
      <c r="M669" s="1223"/>
      <c r="N669" s="61"/>
      <c r="O669" s="61"/>
    </row>
    <row r="670" spans="1:15" s="642" customFormat="1" x14ac:dyDescent="0.2">
      <c r="A670" s="94"/>
      <c r="B670" s="112"/>
      <c r="C670" s="111"/>
      <c r="D670" s="98"/>
      <c r="E670" s="128"/>
      <c r="F670" s="124">
        <v>105</v>
      </c>
      <c r="G670" s="95">
        <v>512</v>
      </c>
      <c r="H670" s="90" t="s">
        <v>60</v>
      </c>
      <c r="I670" s="160">
        <v>1970000</v>
      </c>
      <c r="J670" s="160"/>
      <c r="K670" s="160">
        <f t="shared" si="57"/>
        <v>1970000</v>
      </c>
      <c r="L670" s="27"/>
      <c r="M670" s="1223"/>
      <c r="N670" s="61"/>
      <c r="O670" s="61"/>
    </row>
    <row r="671" spans="1:15" s="642" customFormat="1" x14ac:dyDescent="0.2">
      <c r="A671" s="583"/>
      <c r="B671" s="926"/>
      <c r="C671" s="781"/>
      <c r="D671" s="780"/>
      <c r="E671" s="249"/>
      <c r="F671" s="42"/>
      <c r="G671" s="42"/>
      <c r="H671" s="97" t="s">
        <v>762</v>
      </c>
      <c r="I671" s="192">
        <f>SUM(I654:I670)</f>
        <v>30274487</v>
      </c>
      <c r="J671" s="192"/>
      <c r="K671" s="192">
        <f>SUM(K654:K670)</f>
        <v>30274487</v>
      </c>
      <c r="L671" s="27"/>
      <c r="M671" s="1223"/>
      <c r="N671" s="61"/>
      <c r="O671" s="61"/>
    </row>
    <row r="672" spans="1:15" s="642" customFormat="1" x14ac:dyDescent="0.2">
      <c r="A672" s="94"/>
      <c r="B672" s="112"/>
      <c r="C672" s="111"/>
      <c r="D672" s="98"/>
      <c r="E672" s="128"/>
      <c r="F672" s="1"/>
      <c r="G672" s="38" t="s">
        <v>39</v>
      </c>
      <c r="H672" s="90" t="s">
        <v>40</v>
      </c>
      <c r="I672" s="160">
        <f>SUM(I673)</f>
        <v>30274487</v>
      </c>
      <c r="J672" s="160"/>
      <c r="K672" s="160">
        <f>SUM(I672+J672)</f>
        <v>30274487</v>
      </c>
      <c r="L672" s="27"/>
      <c r="M672" s="1223"/>
      <c r="N672" s="61"/>
      <c r="O672" s="61"/>
    </row>
    <row r="673" spans="1:15" s="642" customFormat="1" x14ac:dyDescent="0.2">
      <c r="A673" s="583"/>
      <c r="B673" s="926"/>
      <c r="C673" s="781"/>
      <c r="D673" s="780"/>
      <c r="E673" s="249"/>
      <c r="F673" s="42"/>
      <c r="G673" s="43"/>
      <c r="H673" s="97" t="s">
        <v>762</v>
      </c>
      <c r="I673" s="162">
        <f>SUM(I671)</f>
        <v>30274487</v>
      </c>
      <c r="J673" s="162"/>
      <c r="K673" s="162">
        <f>SUM(I673:J673)</f>
        <v>30274487</v>
      </c>
      <c r="L673" s="27"/>
      <c r="M673" s="1223"/>
      <c r="N673" s="61"/>
      <c r="O673" s="61"/>
    </row>
    <row r="674" spans="1:15" s="642" customFormat="1" x14ac:dyDescent="0.2">
      <c r="A674" s="94"/>
      <c r="B674" s="112"/>
      <c r="C674" s="111"/>
      <c r="D674" s="98"/>
      <c r="E674" s="128"/>
      <c r="F674" s="1"/>
      <c r="G674" s="1"/>
      <c r="H674" s="452"/>
      <c r="I674" s="62"/>
      <c r="J674" s="62"/>
      <c r="K674" s="288"/>
      <c r="L674" s="27"/>
      <c r="M674" s="1223"/>
      <c r="N674" s="61"/>
      <c r="O674" s="61"/>
    </row>
    <row r="675" spans="1:15" s="642" customFormat="1" x14ac:dyDescent="0.2">
      <c r="A675" s="94"/>
      <c r="B675" s="112"/>
      <c r="C675" s="111"/>
      <c r="D675" s="98"/>
      <c r="E675" s="176"/>
      <c r="F675" s="1"/>
      <c r="G675" s="1"/>
      <c r="H675" s="167" t="s">
        <v>721</v>
      </c>
      <c r="I675" s="158"/>
      <c r="J675" s="158"/>
      <c r="K675" s="159"/>
      <c r="L675" s="27"/>
      <c r="M675" s="1223"/>
      <c r="N675" s="61"/>
      <c r="O675" s="61"/>
    </row>
    <row r="676" spans="1:15" s="642" customFormat="1" x14ac:dyDescent="0.2">
      <c r="A676" s="94"/>
      <c r="B676" s="112"/>
      <c r="C676" s="111"/>
      <c r="D676" s="98"/>
      <c r="E676" s="176"/>
      <c r="F676" s="924">
        <v>106</v>
      </c>
      <c r="G676" s="925">
        <v>511</v>
      </c>
      <c r="H676" s="174" t="s">
        <v>20</v>
      </c>
      <c r="I676" s="241">
        <v>1000</v>
      </c>
      <c r="J676" s="161"/>
      <c r="K676" s="160">
        <f>SUM(I676:J676)</f>
        <v>1000</v>
      </c>
      <c r="L676" s="27"/>
      <c r="M676" s="1223"/>
      <c r="N676" s="61"/>
      <c r="O676" s="61"/>
    </row>
    <row r="677" spans="1:15" s="642" customFormat="1" x14ac:dyDescent="0.2">
      <c r="A677" s="94"/>
      <c r="B677" s="112"/>
      <c r="C677" s="111"/>
      <c r="D677" s="98"/>
      <c r="E677" s="176"/>
      <c r="F677" s="963">
        <v>107</v>
      </c>
      <c r="G677" s="964">
        <v>512</v>
      </c>
      <c r="H677" s="90" t="s">
        <v>60</v>
      </c>
      <c r="I677" s="241">
        <v>1000</v>
      </c>
      <c r="J677" s="161"/>
      <c r="K677" s="160">
        <f>SUM(I677:J677)</f>
        <v>1000</v>
      </c>
      <c r="L677" s="27"/>
      <c r="M677" s="1223"/>
      <c r="N677" s="61"/>
      <c r="O677" s="61"/>
    </row>
    <row r="678" spans="1:15" s="642" customFormat="1" x14ac:dyDescent="0.2">
      <c r="A678" s="94"/>
      <c r="B678" s="112"/>
      <c r="C678" s="111"/>
      <c r="D678" s="98"/>
      <c r="E678" s="965"/>
      <c r="F678" s="966"/>
      <c r="G678" s="967" t="s">
        <v>39</v>
      </c>
      <c r="H678" s="90" t="s">
        <v>40</v>
      </c>
      <c r="I678" s="241">
        <f>SUM(I676:I677)</f>
        <v>2000</v>
      </c>
      <c r="J678" s="161"/>
      <c r="K678" s="160">
        <f>SUM(I678:J678)</f>
        <v>2000</v>
      </c>
      <c r="L678" s="27"/>
      <c r="M678" s="1223"/>
      <c r="N678" s="61"/>
      <c r="O678" s="61"/>
    </row>
    <row r="679" spans="1:15" s="642" customFormat="1" ht="22.5" x14ac:dyDescent="0.2">
      <c r="A679" s="583"/>
      <c r="B679" s="926"/>
      <c r="C679" s="781"/>
      <c r="D679" s="780"/>
      <c r="E679" s="968"/>
      <c r="F679" s="475"/>
      <c r="G679" s="121"/>
      <c r="H679" s="969" t="s">
        <v>722</v>
      </c>
      <c r="I679" s="162">
        <f>SUM(I676:I677)</f>
        <v>2000</v>
      </c>
      <c r="J679" s="162"/>
      <c r="K679" s="162">
        <f>SUM(I679:J679)</f>
        <v>2000</v>
      </c>
      <c r="L679" s="27"/>
      <c r="M679" s="1223"/>
      <c r="N679" s="61"/>
      <c r="O679" s="61"/>
    </row>
    <row r="680" spans="1:15" s="642" customFormat="1" x14ac:dyDescent="0.2">
      <c r="A680" s="94"/>
      <c r="B680" s="112"/>
      <c r="C680" s="111"/>
      <c r="D680" s="98"/>
      <c r="E680" s="176"/>
      <c r="F680" s="1"/>
      <c r="G680" s="1"/>
      <c r="H680" s="970"/>
      <c r="I680" s="188"/>
      <c r="J680" s="188"/>
      <c r="K680" s="188"/>
      <c r="L680" s="27"/>
      <c r="M680" s="1223"/>
      <c r="N680" s="61"/>
      <c r="O680" s="61"/>
    </row>
    <row r="681" spans="1:15" s="642" customFormat="1" x14ac:dyDescent="0.2">
      <c r="A681" s="94"/>
      <c r="B681" s="112"/>
      <c r="C681" s="111"/>
      <c r="D681" s="98"/>
      <c r="E681" s="176"/>
      <c r="F681" s="1"/>
      <c r="G681" s="1"/>
      <c r="H681" s="167" t="s">
        <v>1135</v>
      </c>
      <c r="I681" s="188"/>
      <c r="J681" s="188"/>
      <c r="K681" s="188"/>
      <c r="L681" s="27"/>
      <c r="M681" s="1223"/>
      <c r="N681" s="61"/>
      <c r="O681" s="61"/>
    </row>
    <row r="682" spans="1:15" s="642" customFormat="1" x14ac:dyDescent="0.2">
      <c r="A682" s="94"/>
      <c r="B682" s="112"/>
      <c r="C682" s="111"/>
      <c r="D682" s="98"/>
      <c r="E682" s="176"/>
      <c r="F682" s="95">
        <v>108</v>
      </c>
      <c r="G682" s="925">
        <v>511</v>
      </c>
      <c r="H682" s="174" t="s">
        <v>20</v>
      </c>
      <c r="I682" s="187">
        <v>1300000</v>
      </c>
      <c r="J682" s="188"/>
      <c r="K682" s="187">
        <f>SUM(I682:J682)</f>
        <v>1300000</v>
      </c>
      <c r="L682" s="27"/>
      <c r="M682" s="1223"/>
      <c r="N682" s="61"/>
      <c r="O682" s="61"/>
    </row>
    <row r="683" spans="1:15" s="642" customFormat="1" ht="14.25" customHeight="1" x14ac:dyDescent="0.2">
      <c r="A683" s="94"/>
      <c r="B683" s="112"/>
      <c r="C683" s="111"/>
      <c r="D683" s="98"/>
      <c r="E683" s="176"/>
      <c r="F683" s="1"/>
      <c r="G683" s="1"/>
      <c r="H683" s="153" t="s">
        <v>1070</v>
      </c>
      <c r="I683" s="188">
        <f>SUM(I682)</f>
        <v>1300000</v>
      </c>
      <c r="J683" s="188"/>
      <c r="K683" s="188">
        <f>SUM(I683:J683)</f>
        <v>1300000</v>
      </c>
      <c r="L683" s="27"/>
      <c r="M683" s="1223"/>
      <c r="N683" s="61"/>
      <c r="O683" s="61"/>
    </row>
    <row r="684" spans="1:15" s="642" customFormat="1" ht="14.25" customHeight="1" x14ac:dyDescent="0.2">
      <c r="A684" s="94"/>
      <c r="B684" s="112"/>
      <c r="C684" s="111"/>
      <c r="D684" s="98"/>
      <c r="E684" s="128"/>
      <c r="F684" s="1"/>
      <c r="G684" s="38" t="s">
        <v>39</v>
      </c>
      <c r="H684" s="90" t="s">
        <v>40</v>
      </c>
      <c r="I684" s="160">
        <f>SUM(I683)</f>
        <v>1300000</v>
      </c>
      <c r="J684" s="160"/>
      <c r="K684" s="160">
        <f>SUM(I684+J684)</f>
        <v>1300000</v>
      </c>
      <c r="L684" s="27"/>
      <c r="M684" s="1223"/>
      <c r="N684" s="61"/>
      <c r="O684" s="61"/>
    </row>
    <row r="685" spans="1:15" s="642" customFormat="1" ht="14.25" customHeight="1" x14ac:dyDescent="0.2">
      <c r="A685" s="94"/>
      <c r="B685" s="112"/>
      <c r="C685" s="111"/>
      <c r="D685" s="98"/>
      <c r="E685" s="128"/>
      <c r="F685" s="1"/>
      <c r="G685" s="38"/>
      <c r="H685" s="1211"/>
      <c r="I685" s="163"/>
      <c r="J685" s="163"/>
      <c r="K685" s="163"/>
      <c r="L685" s="27"/>
      <c r="M685" s="1223"/>
      <c r="N685" s="61"/>
      <c r="O685" s="61"/>
    </row>
    <row r="686" spans="1:15" s="642" customFormat="1" ht="14.25" customHeight="1" x14ac:dyDescent="0.2">
      <c r="A686" s="583"/>
      <c r="B686" s="926"/>
      <c r="C686" s="781"/>
      <c r="D686" s="780"/>
      <c r="E686" s="249"/>
      <c r="F686" s="42"/>
      <c r="G686" s="43"/>
      <c r="H686" s="1210" t="s">
        <v>360</v>
      </c>
      <c r="I686" s="469">
        <f>SUM(I683+I679)</f>
        <v>1302000</v>
      </c>
      <c r="J686" s="469"/>
      <c r="K686" s="469">
        <f>SUM(K684:K684)</f>
        <v>1300000</v>
      </c>
      <c r="L686" s="27"/>
      <c r="M686" s="1223"/>
      <c r="N686" s="61"/>
      <c r="O686" s="61"/>
    </row>
    <row r="687" spans="1:15" s="642" customFormat="1" ht="14.25" customHeight="1" x14ac:dyDescent="0.2">
      <c r="A687" s="94"/>
      <c r="B687" s="112"/>
      <c r="C687" s="111"/>
      <c r="D687" s="98"/>
      <c r="E687" s="128"/>
      <c r="F687" s="1"/>
      <c r="G687" s="38" t="s">
        <v>39</v>
      </c>
      <c r="H687" s="90" t="s">
        <v>40</v>
      </c>
      <c r="I687" s="160">
        <f>SUM(I672+I686)</f>
        <v>31576487</v>
      </c>
      <c r="J687" s="160"/>
      <c r="K687" s="160">
        <f>SUM(I687+J687)</f>
        <v>31576487</v>
      </c>
      <c r="L687" s="27"/>
      <c r="M687" s="1223"/>
      <c r="N687" s="61"/>
      <c r="O687" s="61"/>
    </row>
    <row r="688" spans="1:15" s="642" customFormat="1" ht="14.25" customHeight="1" x14ac:dyDescent="0.2">
      <c r="A688" s="583"/>
      <c r="B688" s="926"/>
      <c r="C688" s="781"/>
      <c r="D688" s="780"/>
      <c r="E688" s="249"/>
      <c r="F688" s="42"/>
      <c r="G688" s="43"/>
      <c r="H688" s="97" t="s">
        <v>373</v>
      </c>
      <c r="I688" s="162">
        <f>SUM(I687:I687)</f>
        <v>31576487</v>
      </c>
      <c r="J688" s="162"/>
      <c r="K688" s="162">
        <f>SUM(K687:K687)</f>
        <v>31576487</v>
      </c>
      <c r="L688" s="27"/>
      <c r="M688" s="1223"/>
      <c r="N688" s="61"/>
      <c r="O688" s="61"/>
    </row>
    <row r="689" spans="1:15" x14ac:dyDescent="0.2">
      <c r="A689" s="106"/>
      <c r="B689" s="375"/>
      <c r="C689" s="113"/>
      <c r="D689" s="359"/>
      <c r="E689" s="213"/>
      <c r="F689" s="46"/>
      <c r="G689" s="64"/>
      <c r="H689" s="55"/>
      <c r="I689" s="59"/>
      <c r="J689" s="59"/>
      <c r="K689" s="373"/>
    </row>
    <row r="690" spans="1:15" s="642" customFormat="1" ht="15" x14ac:dyDescent="0.2">
      <c r="A690" s="99"/>
      <c r="B690" s="111"/>
      <c r="C690" s="971">
        <v>940</v>
      </c>
      <c r="D690" s="98"/>
      <c r="E690" s="128"/>
      <c r="F690" s="1"/>
      <c r="G690" s="39"/>
      <c r="H690" s="168" t="s">
        <v>96</v>
      </c>
      <c r="I690" s="859"/>
      <c r="J690" s="859"/>
      <c r="K690" s="860"/>
      <c r="L690" s="27"/>
      <c r="M690" s="1223"/>
      <c r="N690" s="61"/>
      <c r="O690" s="61"/>
    </row>
    <row r="691" spans="1:15" s="642" customFormat="1" ht="15" x14ac:dyDescent="0.2">
      <c r="A691" s="99"/>
      <c r="B691" s="111"/>
      <c r="C691" s="971"/>
      <c r="D691" s="98"/>
      <c r="E691" s="128" t="s">
        <v>296</v>
      </c>
      <c r="F691" s="1"/>
      <c r="G691" s="39"/>
      <c r="H691" s="56"/>
      <c r="I691" s="807"/>
      <c r="J691" s="807"/>
      <c r="K691" s="808"/>
      <c r="L691" s="27"/>
      <c r="M691" s="1223"/>
      <c r="N691" s="61"/>
      <c r="O691" s="61"/>
    </row>
    <row r="692" spans="1:15" s="642" customFormat="1" ht="15" x14ac:dyDescent="0.2">
      <c r="A692" s="101"/>
      <c r="B692" s="781"/>
      <c r="C692" s="972"/>
      <c r="D692" s="780"/>
      <c r="E692" s="249"/>
      <c r="F692" s="42"/>
      <c r="G692" s="783"/>
      <c r="H692" s="973" t="s">
        <v>357</v>
      </c>
      <c r="I692" s="156"/>
      <c r="J692" s="156"/>
      <c r="K692" s="157"/>
      <c r="L692" s="891"/>
      <c r="M692" s="1223"/>
      <c r="N692" s="61"/>
      <c r="O692" s="61"/>
    </row>
    <row r="693" spans="1:15" s="642" customFormat="1" ht="15" x14ac:dyDescent="0.2">
      <c r="A693" s="100"/>
      <c r="B693" s="787"/>
      <c r="C693" s="974"/>
      <c r="D693" s="975"/>
      <c r="E693" s="976"/>
      <c r="F693" s="124">
        <v>109</v>
      </c>
      <c r="G693" s="95">
        <v>472</v>
      </c>
      <c r="H693" s="90" t="s">
        <v>275</v>
      </c>
      <c r="I693" s="1279">
        <v>10430000</v>
      </c>
      <c r="J693" s="133"/>
      <c r="K693" s="133">
        <f>SUM(I693+J693)</f>
        <v>10430000</v>
      </c>
      <c r="L693" s="977"/>
      <c r="M693" s="1223"/>
      <c r="N693" s="61"/>
      <c r="O693" s="61"/>
    </row>
    <row r="694" spans="1:15" s="642" customFormat="1" ht="15" x14ac:dyDescent="0.2">
      <c r="A694" s="99"/>
      <c r="B694" s="111"/>
      <c r="C694" s="978"/>
      <c r="D694" s="98"/>
      <c r="E694" s="128"/>
      <c r="F694" s="124">
        <v>110</v>
      </c>
      <c r="G694" s="95">
        <v>472</v>
      </c>
      <c r="H694" s="90" t="s">
        <v>410</v>
      </c>
      <c r="I694" s="133">
        <v>1000000</v>
      </c>
      <c r="J694" s="133"/>
      <c r="K694" s="133">
        <f>SUM(I694+J694)</f>
        <v>1000000</v>
      </c>
      <c r="L694" s="891"/>
      <c r="M694" s="1223"/>
      <c r="N694" s="61"/>
      <c r="O694" s="61"/>
    </row>
    <row r="695" spans="1:15" s="642" customFormat="1" ht="15" x14ac:dyDescent="0.2">
      <c r="A695" s="101"/>
      <c r="B695" s="781"/>
      <c r="C695" s="978"/>
      <c r="D695" s="94"/>
      <c r="E695" s="176"/>
      <c r="F695" s="1"/>
      <c r="G695" s="1"/>
      <c r="H695" s="97" t="s">
        <v>773</v>
      </c>
      <c r="I695" s="979">
        <f>SUM(I693:I694)</f>
        <v>11430000</v>
      </c>
      <c r="J695" s="979"/>
      <c r="K695" s="979">
        <f>SUM(K693:K694)</f>
        <v>11430000</v>
      </c>
      <c r="L695" s="27"/>
      <c r="M695" s="1223"/>
      <c r="N695" s="61"/>
      <c r="O695" s="61"/>
    </row>
    <row r="696" spans="1:15" s="642" customFormat="1" ht="15" x14ac:dyDescent="0.2">
      <c r="A696" s="99"/>
      <c r="B696" s="111"/>
      <c r="C696" s="974"/>
      <c r="D696" s="100"/>
      <c r="E696" s="246"/>
      <c r="F696" s="41"/>
      <c r="G696" s="41"/>
      <c r="H696" s="138" t="s">
        <v>97</v>
      </c>
      <c r="I696" s="859"/>
      <c r="J696" s="859"/>
      <c r="K696" s="860"/>
      <c r="L696" s="27"/>
      <c r="M696" s="1223"/>
      <c r="N696" s="61"/>
      <c r="O696" s="61"/>
    </row>
    <row r="697" spans="1:15" s="642" customFormat="1" ht="15" x14ac:dyDescent="0.2">
      <c r="A697" s="99"/>
      <c r="B697" s="111"/>
      <c r="C697" s="978"/>
      <c r="D697" s="99"/>
      <c r="E697" s="176"/>
      <c r="F697" s="1"/>
      <c r="G697" s="38" t="s">
        <v>39</v>
      </c>
      <c r="H697" s="90" t="s">
        <v>40</v>
      </c>
      <c r="I697" s="133">
        <f>SUM(I695)-I698</f>
        <v>10430000</v>
      </c>
      <c r="J697" s="133"/>
      <c r="K697" s="133">
        <f>SUM(I697:J697)</f>
        <v>10430000</v>
      </c>
      <c r="L697" s="27"/>
      <c r="M697" s="1223"/>
      <c r="N697" s="61"/>
      <c r="O697" s="61"/>
    </row>
    <row r="698" spans="1:15" s="642" customFormat="1" ht="15" x14ac:dyDescent="0.2">
      <c r="A698" s="99"/>
      <c r="B698" s="111"/>
      <c r="C698" s="978"/>
      <c r="D698" s="99"/>
      <c r="E698" s="176"/>
      <c r="F698" s="1"/>
      <c r="G698" s="38" t="s">
        <v>157</v>
      </c>
      <c r="H698" s="90" t="s">
        <v>354</v>
      </c>
      <c r="I698" s="133">
        <v>1000000</v>
      </c>
      <c r="J698" s="133"/>
      <c r="K698" s="133">
        <f>SUM(I698+J698)</f>
        <v>1000000</v>
      </c>
      <c r="L698" s="27"/>
      <c r="M698" s="1223"/>
      <c r="N698" s="61"/>
      <c r="O698" s="61"/>
    </row>
    <row r="699" spans="1:15" s="642" customFormat="1" ht="15" x14ac:dyDescent="0.2">
      <c r="A699" s="101"/>
      <c r="B699" s="781"/>
      <c r="C699" s="972"/>
      <c r="D699" s="101"/>
      <c r="E699" s="177"/>
      <c r="F699" s="42"/>
      <c r="G699" s="43"/>
      <c r="H699" s="97" t="s">
        <v>98</v>
      </c>
      <c r="I699" s="170">
        <f>SUM(I697:I698)</f>
        <v>11430000</v>
      </c>
      <c r="J699" s="170"/>
      <c r="K699" s="170">
        <f>SUM(K697:K698)</f>
        <v>11430000</v>
      </c>
      <c r="L699" s="27"/>
      <c r="M699" s="1223"/>
      <c r="N699" s="61"/>
      <c r="O699" s="61"/>
    </row>
    <row r="700" spans="1:15" s="642" customFormat="1" ht="15" x14ac:dyDescent="0.2">
      <c r="A700" s="99"/>
      <c r="B700" s="111"/>
      <c r="C700" s="978"/>
      <c r="D700" s="99"/>
      <c r="E700" s="176"/>
      <c r="F700" s="1"/>
      <c r="G700" s="38"/>
      <c r="H700" s="44"/>
      <c r="I700" s="807"/>
      <c r="J700" s="807"/>
      <c r="K700" s="808"/>
      <c r="L700" s="27"/>
      <c r="M700" s="1223"/>
      <c r="N700" s="61"/>
      <c r="O700" s="61"/>
    </row>
    <row r="701" spans="1:15" s="642" customFormat="1" x14ac:dyDescent="0.2">
      <c r="A701" s="99"/>
      <c r="B701" s="111"/>
      <c r="C701" s="980">
        <v>950</v>
      </c>
      <c r="D701" s="98"/>
      <c r="E701" s="128"/>
      <c r="F701" s="1"/>
      <c r="G701" s="506"/>
      <c r="H701" s="138" t="s">
        <v>99</v>
      </c>
      <c r="I701" s="859"/>
      <c r="J701" s="859"/>
      <c r="K701" s="860"/>
      <c r="L701" s="27"/>
      <c r="M701" s="1223"/>
      <c r="N701" s="61"/>
      <c r="O701" s="61"/>
    </row>
    <row r="702" spans="1:15" s="642" customFormat="1" ht="15" x14ac:dyDescent="0.2">
      <c r="A702" s="99"/>
      <c r="B702" s="111"/>
      <c r="C702" s="978"/>
      <c r="D702" s="98"/>
      <c r="E702" s="128" t="s">
        <v>296</v>
      </c>
      <c r="F702" s="1"/>
      <c r="G702" s="506"/>
      <c r="H702" s="44"/>
      <c r="I702" s="807"/>
      <c r="J702" s="807"/>
      <c r="K702" s="808"/>
      <c r="L702" s="27"/>
      <c r="M702" s="1223"/>
      <c r="N702" s="61"/>
      <c r="O702" s="61"/>
    </row>
    <row r="703" spans="1:15" s="642" customFormat="1" ht="15" x14ac:dyDescent="0.2">
      <c r="A703" s="99"/>
      <c r="B703" s="111"/>
      <c r="C703" s="978"/>
      <c r="D703" s="98"/>
      <c r="E703" s="128"/>
      <c r="F703" s="1"/>
      <c r="G703" s="506"/>
      <c r="H703" s="507" t="s">
        <v>358</v>
      </c>
      <c r="I703" s="158"/>
      <c r="J703" s="158"/>
      <c r="K703" s="159"/>
      <c r="L703" s="26"/>
      <c r="M703" s="1223"/>
      <c r="N703" s="61"/>
      <c r="O703" s="61"/>
    </row>
    <row r="704" spans="1:15" s="642" customFormat="1" ht="14.25" customHeight="1" x14ac:dyDescent="0.2">
      <c r="A704" s="99"/>
      <c r="B704" s="111"/>
      <c r="C704" s="978"/>
      <c r="D704" s="98"/>
      <c r="E704" s="128"/>
      <c r="F704" s="120">
        <v>111</v>
      </c>
      <c r="G704" s="246" t="s">
        <v>100</v>
      </c>
      <c r="H704" s="90" t="s">
        <v>101</v>
      </c>
      <c r="I704" s="501">
        <v>4600000</v>
      </c>
      <c r="J704" s="133"/>
      <c r="K704" s="133">
        <f>SUM(I704+J704)</f>
        <v>4600000</v>
      </c>
      <c r="L704" s="27"/>
      <c r="M704" s="1223"/>
      <c r="N704" s="61"/>
      <c r="O704" s="61"/>
    </row>
    <row r="705" spans="1:15" s="642" customFormat="1" ht="15" x14ac:dyDescent="0.2">
      <c r="A705" s="99"/>
      <c r="B705" s="111"/>
      <c r="C705" s="978"/>
      <c r="D705" s="98"/>
      <c r="E705" s="981"/>
      <c r="F705" s="473"/>
      <c r="G705" s="526" t="s">
        <v>39</v>
      </c>
      <c r="H705" s="90" t="s">
        <v>40</v>
      </c>
      <c r="I705" s="501">
        <f>SUM(I704)</f>
        <v>4600000</v>
      </c>
      <c r="J705" s="133"/>
      <c r="K705" s="133">
        <f>SUM(I705+J705)</f>
        <v>4600000</v>
      </c>
      <c r="L705" s="27"/>
      <c r="M705" s="1223"/>
      <c r="N705" s="61"/>
      <c r="O705" s="61"/>
    </row>
    <row r="706" spans="1:15" s="642" customFormat="1" ht="15" x14ac:dyDescent="0.2">
      <c r="A706" s="101"/>
      <c r="B706" s="781"/>
      <c r="C706" s="972"/>
      <c r="D706" s="780"/>
      <c r="E706" s="982"/>
      <c r="F706" s="475"/>
      <c r="G706" s="983"/>
      <c r="H706" s="245" t="s">
        <v>772</v>
      </c>
      <c r="I706" s="161">
        <f>SUM(I704)</f>
        <v>4600000</v>
      </c>
      <c r="J706" s="133"/>
      <c r="K706" s="173">
        <f>SUM(K704)</f>
        <v>4600000</v>
      </c>
      <c r="L706" s="27"/>
      <c r="M706" s="1223"/>
      <c r="N706" s="61"/>
      <c r="O706" s="61"/>
    </row>
    <row r="707" spans="1:15" s="642" customFormat="1" ht="15" x14ac:dyDescent="0.2">
      <c r="A707" s="99"/>
      <c r="B707" s="111"/>
      <c r="C707" s="978"/>
      <c r="D707" s="98"/>
      <c r="E707" s="128"/>
      <c r="F707" s="1"/>
      <c r="G707" s="38"/>
      <c r="H707" s="984"/>
      <c r="I707" s="807"/>
      <c r="J707" s="807"/>
      <c r="K707" s="808"/>
      <c r="L707" s="27"/>
      <c r="M707" s="1223"/>
      <c r="N707" s="61"/>
      <c r="O707" s="61"/>
    </row>
    <row r="708" spans="1:15" s="642" customFormat="1" x14ac:dyDescent="0.2">
      <c r="A708" s="99"/>
      <c r="B708" s="111"/>
      <c r="C708" s="980">
        <v>950</v>
      </c>
      <c r="D708" s="98"/>
      <c r="E708" s="128"/>
      <c r="F708" s="1"/>
      <c r="G708" s="506"/>
      <c r="H708" s="138" t="s">
        <v>99</v>
      </c>
      <c r="I708" s="859"/>
      <c r="J708" s="859"/>
      <c r="K708" s="860"/>
      <c r="L708" s="27"/>
      <c r="M708" s="1223"/>
      <c r="N708" s="61"/>
      <c r="O708" s="61"/>
    </row>
    <row r="709" spans="1:15" s="642" customFormat="1" ht="15" x14ac:dyDescent="0.2">
      <c r="A709" s="99"/>
      <c r="B709" s="111"/>
      <c r="C709" s="978"/>
      <c r="D709" s="98"/>
      <c r="E709" s="128" t="s">
        <v>296</v>
      </c>
      <c r="F709" s="1"/>
      <c r="G709" s="506"/>
      <c r="H709" s="44"/>
      <c r="I709" s="807"/>
      <c r="J709" s="807"/>
      <c r="K709" s="808"/>
      <c r="L709" s="27"/>
      <c r="M709" s="1223"/>
      <c r="N709" s="61"/>
      <c r="O709" s="61"/>
    </row>
    <row r="710" spans="1:15" s="642" customFormat="1" ht="15" x14ac:dyDescent="0.2">
      <c r="A710" s="99"/>
      <c r="B710" s="111"/>
      <c r="C710" s="978"/>
      <c r="D710" s="98"/>
      <c r="E710" s="128"/>
      <c r="F710" s="1"/>
      <c r="G710" s="506"/>
      <c r="H710" s="507" t="s">
        <v>573</v>
      </c>
      <c r="I710" s="158"/>
      <c r="J710" s="158"/>
      <c r="K710" s="159"/>
      <c r="L710" s="27"/>
      <c r="M710" s="1223"/>
      <c r="N710" s="61"/>
      <c r="O710" s="61"/>
    </row>
    <row r="711" spans="1:15" s="642" customFormat="1" ht="15" x14ac:dyDescent="0.2">
      <c r="A711" s="99"/>
      <c r="B711" s="111"/>
      <c r="C711" s="978"/>
      <c r="D711" s="98"/>
      <c r="E711" s="128"/>
      <c r="F711" s="124">
        <v>112</v>
      </c>
      <c r="G711" s="154" t="s">
        <v>100</v>
      </c>
      <c r="H711" s="90" t="s">
        <v>574</v>
      </c>
      <c r="I711" s="501">
        <v>1400000</v>
      </c>
      <c r="J711" s="133"/>
      <c r="K711" s="133">
        <f>SUM(I711+J711)</f>
        <v>1400000</v>
      </c>
      <c r="L711" s="26"/>
      <c r="M711" s="1223"/>
      <c r="N711" s="61"/>
      <c r="O711" s="61"/>
    </row>
    <row r="712" spans="1:15" s="642" customFormat="1" ht="15" x14ac:dyDescent="0.2">
      <c r="A712" s="99"/>
      <c r="B712" s="111"/>
      <c r="C712" s="978"/>
      <c r="D712" s="98"/>
      <c r="E712" s="128"/>
      <c r="F712" s="1"/>
      <c r="G712" s="526" t="s">
        <v>39</v>
      </c>
      <c r="H712" s="90" t="s">
        <v>40</v>
      </c>
      <c r="I712" s="501">
        <f>SUM(I711)</f>
        <v>1400000</v>
      </c>
      <c r="J712" s="133"/>
      <c r="K712" s="133">
        <f>SUM(I712+J712)</f>
        <v>1400000</v>
      </c>
      <c r="L712" s="27"/>
      <c r="M712" s="1223"/>
      <c r="N712" s="61"/>
      <c r="O712" s="61"/>
    </row>
    <row r="713" spans="1:15" s="642" customFormat="1" ht="22.5" x14ac:dyDescent="0.2">
      <c r="A713" s="99"/>
      <c r="B713" s="111"/>
      <c r="C713" s="978"/>
      <c r="D713" s="98"/>
      <c r="E713" s="128"/>
      <c r="F713" s="1"/>
      <c r="G713" s="38"/>
      <c r="H713" s="153" t="s">
        <v>763</v>
      </c>
      <c r="I713" s="162">
        <f>SUM(I711)</f>
        <v>1400000</v>
      </c>
      <c r="J713" s="162"/>
      <c r="K713" s="162">
        <f>SUM(K711)</f>
        <v>1400000</v>
      </c>
      <c r="L713" s="27"/>
      <c r="M713" s="1223"/>
      <c r="N713" s="61"/>
      <c r="O713" s="61"/>
    </row>
    <row r="714" spans="1:15" s="642" customFormat="1" ht="15" x14ac:dyDescent="0.2">
      <c r="A714" s="99"/>
      <c r="B714" s="111"/>
      <c r="C714" s="978"/>
      <c r="D714" s="98"/>
      <c r="E714" s="128"/>
      <c r="F714" s="1"/>
      <c r="G714" s="38"/>
      <c r="H714" s="51"/>
      <c r="I714" s="60"/>
      <c r="J714" s="60"/>
      <c r="K714" s="60"/>
      <c r="L714" s="27"/>
      <c r="M714" s="1223"/>
      <c r="N714" s="61"/>
      <c r="O714" s="61"/>
    </row>
    <row r="715" spans="1:15" s="642" customFormat="1" ht="15" x14ac:dyDescent="0.2">
      <c r="A715" s="99"/>
      <c r="B715" s="111"/>
      <c r="C715" s="978"/>
      <c r="D715" s="98"/>
      <c r="E715" s="128"/>
      <c r="F715" s="1"/>
      <c r="G715" s="506"/>
      <c r="H715" s="507" t="s">
        <v>974</v>
      </c>
      <c r="I715" s="158"/>
      <c r="J715" s="158"/>
      <c r="K715" s="159"/>
      <c r="L715" s="27"/>
      <c r="M715" s="1223"/>
      <c r="N715" s="61"/>
      <c r="O715" s="61"/>
    </row>
    <row r="716" spans="1:15" s="642" customFormat="1" ht="15" x14ac:dyDescent="0.2">
      <c r="A716" s="99"/>
      <c r="B716" s="111"/>
      <c r="C716" s="978"/>
      <c r="D716" s="98"/>
      <c r="E716" s="128"/>
      <c r="F716" s="124" t="s">
        <v>975</v>
      </c>
      <c r="G716" s="154" t="s">
        <v>514</v>
      </c>
      <c r="H716" s="90" t="s">
        <v>976</v>
      </c>
      <c r="I716" s="501">
        <v>2000000</v>
      </c>
      <c r="J716" s="133"/>
      <c r="K716" s="133">
        <f>SUM(I716+J716)</f>
        <v>2000000</v>
      </c>
      <c r="L716" s="26"/>
      <c r="M716" s="1223"/>
      <c r="N716" s="61"/>
      <c r="O716" s="61"/>
    </row>
    <row r="717" spans="1:15" s="642" customFormat="1" ht="15" customHeight="1" x14ac:dyDescent="0.2">
      <c r="A717" s="99"/>
      <c r="B717" s="111"/>
      <c r="C717" s="978"/>
      <c r="D717" s="98"/>
      <c r="E717" s="128"/>
      <c r="F717" s="1"/>
      <c r="G717" s="526" t="s">
        <v>39</v>
      </c>
      <c r="H717" s="90" t="s">
        <v>40</v>
      </c>
      <c r="I717" s="501">
        <f>SUM(I716)</f>
        <v>2000000</v>
      </c>
      <c r="J717" s="133"/>
      <c r="K717" s="133">
        <f>SUM(I717+J717)</f>
        <v>2000000</v>
      </c>
      <c r="L717" s="27"/>
      <c r="M717" s="1223"/>
      <c r="N717" s="61"/>
      <c r="O717" s="61"/>
    </row>
    <row r="718" spans="1:15" s="642" customFormat="1" ht="22.5" customHeight="1" x14ac:dyDescent="0.2">
      <c r="A718" s="99"/>
      <c r="B718" s="111"/>
      <c r="C718" s="978"/>
      <c r="D718" s="98"/>
      <c r="E718" s="128"/>
      <c r="F718" s="1"/>
      <c r="G718" s="983"/>
      <c r="H718" s="153" t="s">
        <v>1188</v>
      </c>
      <c r="I718" s="162">
        <f>SUM(I716)</f>
        <v>2000000</v>
      </c>
      <c r="J718" s="162"/>
      <c r="K718" s="162">
        <f>SUM(K716)</f>
        <v>2000000</v>
      </c>
      <c r="L718" s="27"/>
      <c r="M718" s="1223"/>
      <c r="N718" s="61"/>
      <c r="O718" s="61"/>
    </row>
    <row r="719" spans="1:15" s="642" customFormat="1" ht="14.25" customHeight="1" x14ac:dyDescent="0.2">
      <c r="A719" s="100"/>
      <c r="B719" s="787"/>
      <c r="C719" s="974"/>
      <c r="D719" s="975"/>
      <c r="E719" s="976"/>
      <c r="F719" s="41"/>
      <c r="G719" s="38"/>
      <c r="H719" s="22"/>
      <c r="I719" s="807"/>
      <c r="J719" s="807"/>
      <c r="K719" s="808"/>
      <c r="L719" s="27"/>
      <c r="M719" s="1223"/>
      <c r="N719" s="61"/>
      <c r="O719" s="61"/>
    </row>
    <row r="720" spans="1:15" s="642" customFormat="1" ht="14.25" customHeight="1" x14ac:dyDescent="0.2">
      <c r="A720" s="99"/>
      <c r="B720" s="111"/>
      <c r="C720" s="980">
        <v>950</v>
      </c>
      <c r="D720" s="98"/>
      <c r="E720" s="128"/>
      <c r="F720" s="1"/>
      <c r="G720" s="506"/>
      <c r="H720" s="138" t="s">
        <v>99</v>
      </c>
      <c r="I720" s="859"/>
      <c r="J720" s="859"/>
      <c r="K720" s="860"/>
      <c r="L720" s="27"/>
      <c r="M720" s="1223"/>
      <c r="N720" s="61"/>
      <c r="O720" s="61"/>
    </row>
    <row r="721" spans="1:15" s="642" customFormat="1" ht="14.25" customHeight="1" x14ac:dyDescent="0.2">
      <c r="A721" s="99"/>
      <c r="B721" s="111"/>
      <c r="C721" s="978"/>
      <c r="D721" s="98"/>
      <c r="E721" s="128" t="s">
        <v>296</v>
      </c>
      <c r="F721" s="1"/>
      <c r="G721" s="506"/>
      <c r="H721" s="44"/>
      <c r="I721" s="807"/>
      <c r="J721" s="807"/>
      <c r="K721" s="808"/>
      <c r="L721" s="27"/>
      <c r="M721" s="1223"/>
      <c r="N721" s="61"/>
      <c r="O721" s="61"/>
    </row>
    <row r="722" spans="1:15" s="642" customFormat="1" ht="21" customHeight="1" x14ac:dyDescent="0.2">
      <c r="A722" s="99"/>
      <c r="B722" s="111"/>
      <c r="C722" s="978"/>
      <c r="D722" s="98"/>
      <c r="E722" s="128"/>
      <c r="F722" s="1"/>
      <c r="G722" s="506"/>
      <c r="H722" s="973" t="s">
        <v>764</v>
      </c>
      <c r="I722" s="156"/>
      <c r="J722" s="156"/>
      <c r="K722" s="157"/>
      <c r="L722" s="27"/>
      <c r="M722" s="1223"/>
      <c r="N722" s="61"/>
      <c r="O722" s="61"/>
    </row>
    <row r="723" spans="1:15" s="642" customFormat="1" ht="15" x14ac:dyDescent="0.2">
      <c r="A723" s="99"/>
      <c r="B723" s="111"/>
      <c r="C723" s="978"/>
      <c r="D723" s="98"/>
      <c r="E723" s="128"/>
      <c r="F723" s="120">
        <v>113</v>
      </c>
      <c r="G723" s="246" t="s">
        <v>100</v>
      </c>
      <c r="H723" s="90" t="s">
        <v>709</v>
      </c>
      <c r="I723" s="501">
        <v>6000000</v>
      </c>
      <c r="J723" s="133"/>
      <c r="K723" s="133">
        <f>SUM(I723+J723)</f>
        <v>6000000</v>
      </c>
      <c r="L723" s="977"/>
      <c r="M723" s="1223"/>
      <c r="N723" s="61"/>
      <c r="O723" s="61"/>
    </row>
    <row r="724" spans="1:15" s="642" customFormat="1" ht="15" x14ac:dyDescent="0.2">
      <c r="A724" s="99"/>
      <c r="B724" s="111"/>
      <c r="C724" s="978"/>
      <c r="D724" s="98"/>
      <c r="E724" s="981"/>
      <c r="F724" s="473"/>
      <c r="G724" s="526" t="s">
        <v>39</v>
      </c>
      <c r="H724" s="90" t="s">
        <v>40</v>
      </c>
      <c r="I724" s="501">
        <f>SUM(I723)</f>
        <v>6000000</v>
      </c>
      <c r="J724" s="133"/>
      <c r="K724" s="133">
        <f>SUM(I724+J724)</f>
        <v>6000000</v>
      </c>
      <c r="L724" s="977"/>
      <c r="M724" s="1223"/>
      <c r="N724" s="61"/>
      <c r="O724" s="61"/>
    </row>
    <row r="725" spans="1:15" s="642" customFormat="1" ht="15" x14ac:dyDescent="0.2">
      <c r="A725" s="101"/>
      <c r="B725" s="781"/>
      <c r="C725" s="972"/>
      <c r="D725" s="780"/>
      <c r="E725" s="982"/>
      <c r="F725" s="475"/>
      <c r="G725" s="983"/>
      <c r="H725" s="969" t="s">
        <v>771</v>
      </c>
      <c r="I725" s="170">
        <f>SUM(I723)</f>
        <v>6000000</v>
      </c>
      <c r="J725" s="162"/>
      <c r="K725" s="162">
        <f>SUM(K723)</f>
        <v>6000000</v>
      </c>
      <c r="L725" s="27"/>
      <c r="M725" s="1223"/>
      <c r="N725" s="61"/>
      <c r="O725" s="61"/>
    </row>
    <row r="726" spans="1:15" s="642" customFormat="1" ht="15" x14ac:dyDescent="0.2">
      <c r="A726" s="99"/>
      <c r="B726" s="111"/>
      <c r="C726" s="978"/>
      <c r="D726" s="98"/>
      <c r="E726" s="128"/>
      <c r="F726" s="1"/>
      <c r="G726" s="38"/>
      <c r="H726" s="984"/>
      <c r="I726" s="807"/>
      <c r="J726" s="807"/>
      <c r="K726" s="808"/>
      <c r="L726" s="27"/>
      <c r="M726" s="1223"/>
      <c r="N726" s="61"/>
      <c r="O726" s="61"/>
    </row>
    <row r="727" spans="1:15" s="642" customFormat="1" x14ac:dyDescent="0.2">
      <c r="A727" s="99"/>
      <c r="B727" s="111"/>
      <c r="C727" s="980">
        <v>950</v>
      </c>
      <c r="D727" s="98"/>
      <c r="E727" s="128"/>
      <c r="F727" s="1"/>
      <c r="G727" s="506"/>
      <c r="H727" s="138" t="s">
        <v>99</v>
      </c>
      <c r="I727" s="859"/>
      <c r="J727" s="859"/>
      <c r="K727" s="860"/>
      <c r="L727" s="27"/>
      <c r="M727" s="1223"/>
      <c r="N727" s="61"/>
      <c r="O727" s="61"/>
    </row>
    <row r="728" spans="1:15" s="642" customFormat="1" ht="15" x14ac:dyDescent="0.2">
      <c r="A728" s="99"/>
      <c r="B728" s="111"/>
      <c r="C728" s="978"/>
      <c r="D728" s="98"/>
      <c r="E728" s="128" t="s">
        <v>296</v>
      </c>
      <c r="F728" s="1"/>
      <c r="G728" s="506"/>
      <c r="H728" s="44"/>
      <c r="I728" s="807"/>
      <c r="J728" s="807"/>
      <c r="K728" s="808"/>
      <c r="L728" s="27"/>
      <c r="M728" s="1223"/>
      <c r="N728" s="61"/>
      <c r="O728" s="61"/>
    </row>
    <row r="729" spans="1:15" s="642" customFormat="1" ht="26.25" customHeight="1" x14ac:dyDescent="0.2">
      <c r="A729" s="99"/>
      <c r="B729" s="111"/>
      <c r="C729" s="978"/>
      <c r="D729" s="98"/>
      <c r="E729" s="128"/>
      <c r="F729" s="1"/>
      <c r="G729" s="506"/>
      <c r="H729" s="155" t="s">
        <v>743</v>
      </c>
      <c r="I729" s="158"/>
      <c r="J729" s="158"/>
      <c r="K729" s="159"/>
      <c r="L729" s="27"/>
      <c r="M729" s="1223"/>
      <c r="N729" s="61"/>
      <c r="O729" s="61"/>
    </row>
    <row r="730" spans="1:15" s="642" customFormat="1" ht="14.25" customHeight="1" x14ac:dyDescent="0.2">
      <c r="A730" s="99"/>
      <c r="B730" s="111"/>
      <c r="C730" s="978"/>
      <c r="D730" s="98"/>
      <c r="E730" s="128"/>
      <c r="F730" s="120">
        <v>114</v>
      </c>
      <c r="G730" s="246" t="s">
        <v>51</v>
      </c>
      <c r="H730" s="90" t="s">
        <v>10</v>
      </c>
      <c r="I730" s="501">
        <v>1000000</v>
      </c>
      <c r="J730" s="133"/>
      <c r="K730" s="133">
        <f>SUM(I730+J730)</f>
        <v>1000000</v>
      </c>
      <c r="L730" s="27"/>
      <c r="M730" s="1223"/>
      <c r="N730" s="61"/>
      <c r="O730" s="61"/>
    </row>
    <row r="731" spans="1:15" s="642" customFormat="1" ht="15" x14ac:dyDescent="0.2">
      <c r="A731" s="99"/>
      <c r="B731" s="111"/>
      <c r="C731" s="978"/>
      <c r="D731" s="98"/>
      <c r="E731" s="981"/>
      <c r="F731" s="473"/>
      <c r="G731" s="526" t="s">
        <v>39</v>
      </c>
      <c r="H731" s="90" t="s">
        <v>40</v>
      </c>
      <c r="I731" s="501">
        <f>SUM(I730)</f>
        <v>1000000</v>
      </c>
      <c r="J731" s="133"/>
      <c r="K731" s="133">
        <f>SUM(I731+J731)</f>
        <v>1000000</v>
      </c>
      <c r="L731" s="27"/>
      <c r="M731" s="1223"/>
      <c r="N731" s="61"/>
      <c r="O731" s="61"/>
    </row>
    <row r="732" spans="1:15" s="642" customFormat="1" ht="22.5" x14ac:dyDescent="0.2">
      <c r="A732" s="101"/>
      <c r="B732" s="781"/>
      <c r="C732" s="972"/>
      <c r="D732" s="780"/>
      <c r="E732" s="982"/>
      <c r="F732" s="475"/>
      <c r="G732" s="983"/>
      <c r="H732" s="969" t="s">
        <v>767</v>
      </c>
      <c r="I732" s="170">
        <f>SUM(I730)</f>
        <v>1000000</v>
      </c>
      <c r="J732" s="162"/>
      <c r="K732" s="162">
        <f>SUM(K730)</f>
        <v>1000000</v>
      </c>
      <c r="L732" s="27"/>
      <c r="M732" s="1223"/>
      <c r="N732" s="61"/>
      <c r="O732" s="61"/>
    </row>
    <row r="733" spans="1:15" s="642" customFormat="1" ht="15" x14ac:dyDescent="0.2">
      <c r="A733" s="99"/>
      <c r="B733" s="111"/>
      <c r="C733" s="978"/>
      <c r="D733" s="99"/>
      <c r="E733" s="176"/>
      <c r="F733" s="1"/>
      <c r="G733" s="1"/>
      <c r="H733" s="138" t="s">
        <v>102</v>
      </c>
      <c r="I733" s="859"/>
      <c r="J733" s="859"/>
      <c r="K733" s="860"/>
      <c r="L733" s="27"/>
      <c r="M733" s="1223"/>
      <c r="N733" s="61"/>
      <c r="O733" s="61"/>
    </row>
    <row r="734" spans="1:15" s="642" customFormat="1" ht="15" x14ac:dyDescent="0.2">
      <c r="A734" s="99"/>
      <c r="B734" s="111"/>
      <c r="C734" s="978"/>
      <c r="D734" s="99"/>
      <c r="E734" s="176"/>
      <c r="F734" s="1"/>
      <c r="G734" s="38" t="s">
        <v>39</v>
      </c>
      <c r="H734" s="90" t="s">
        <v>40</v>
      </c>
      <c r="I734" s="133">
        <f>SUM(I706+I713+I725+I732+I718)</f>
        <v>15000000</v>
      </c>
      <c r="J734" s="133"/>
      <c r="K734" s="133">
        <f>SUM(I734+J734)</f>
        <v>15000000</v>
      </c>
      <c r="L734" s="27"/>
      <c r="M734" s="1223"/>
      <c r="N734" s="61"/>
      <c r="O734" s="61"/>
    </row>
    <row r="735" spans="1:15" s="642" customFormat="1" ht="15" x14ac:dyDescent="0.2">
      <c r="A735" s="101"/>
      <c r="B735" s="781"/>
      <c r="C735" s="972"/>
      <c r="D735" s="101"/>
      <c r="E735" s="177"/>
      <c r="F735" s="42"/>
      <c r="G735" s="43"/>
      <c r="H735" s="97" t="s">
        <v>103</v>
      </c>
      <c r="I735" s="170">
        <f>SUM(I734)</f>
        <v>15000000</v>
      </c>
      <c r="J735" s="170"/>
      <c r="K735" s="170">
        <f>SUM(K734)</f>
        <v>15000000</v>
      </c>
      <c r="L735" s="27"/>
      <c r="M735" s="1223"/>
      <c r="N735" s="61"/>
      <c r="O735" s="61"/>
    </row>
    <row r="736" spans="1:15" s="642" customFormat="1" ht="24.75" customHeight="1" x14ac:dyDescent="0.2">
      <c r="A736" s="99"/>
      <c r="B736" s="111"/>
      <c r="C736" s="978"/>
      <c r="D736" s="99"/>
      <c r="E736" s="176"/>
      <c r="F736" s="1"/>
      <c r="G736" s="38"/>
      <c r="H736" s="985"/>
      <c r="I736" s="986"/>
      <c r="J736" s="986"/>
      <c r="K736" s="987"/>
      <c r="L736" s="27"/>
      <c r="M736" s="1223"/>
      <c r="N736" s="61"/>
      <c r="O736" s="61"/>
    </row>
    <row r="737" spans="1:15" s="642" customFormat="1" ht="22.5" x14ac:dyDescent="0.2">
      <c r="A737" s="99"/>
      <c r="B737" s="111"/>
      <c r="C737" s="978"/>
      <c r="D737" s="128" t="s">
        <v>671</v>
      </c>
      <c r="E737" s="128"/>
      <c r="F737" s="1"/>
      <c r="G737" s="38"/>
      <c r="H737" s="988" t="s">
        <v>803</v>
      </c>
      <c r="I737" s="817">
        <f>I745+I754</f>
        <v>708000</v>
      </c>
      <c r="J737" s="817"/>
      <c r="K737" s="818">
        <f>SUM(I737:J737)</f>
        <v>708000</v>
      </c>
      <c r="L737" s="27"/>
      <c r="M737" s="1223"/>
      <c r="N737" s="61"/>
      <c r="O737" s="61"/>
    </row>
    <row r="738" spans="1:15" s="642" customFormat="1" ht="15" x14ac:dyDescent="0.2">
      <c r="A738" s="99"/>
      <c r="B738" s="111"/>
      <c r="C738" s="978"/>
      <c r="D738" s="99"/>
      <c r="E738" s="176"/>
      <c r="F738" s="1"/>
      <c r="G738" s="38"/>
      <c r="H738" s="44"/>
      <c r="I738" s="863"/>
      <c r="J738" s="863"/>
      <c r="K738" s="864"/>
      <c r="L738" s="27"/>
      <c r="M738" s="1223"/>
      <c r="N738" s="61"/>
      <c r="O738" s="61"/>
    </row>
    <row r="739" spans="1:15" s="642" customFormat="1" x14ac:dyDescent="0.2">
      <c r="A739" s="99"/>
      <c r="B739" s="111"/>
      <c r="C739" s="111">
        <v>920</v>
      </c>
      <c r="D739" s="98"/>
      <c r="E739" s="128"/>
      <c r="F739" s="1"/>
      <c r="G739" s="39"/>
      <c r="H739" s="168" t="s">
        <v>92</v>
      </c>
      <c r="I739" s="989"/>
      <c r="J739" s="989"/>
      <c r="K739" s="990"/>
      <c r="L739" s="27"/>
      <c r="M739" s="1223"/>
      <c r="N739" s="61"/>
      <c r="O739" s="61"/>
    </row>
    <row r="740" spans="1:15" s="642" customFormat="1" x14ac:dyDescent="0.2">
      <c r="A740" s="99"/>
      <c r="B740" s="111"/>
      <c r="C740" s="111"/>
      <c r="D740" s="98"/>
      <c r="E740" s="128"/>
      <c r="F740" s="1"/>
      <c r="G740" s="39"/>
      <c r="H740" s="56"/>
      <c r="I740" s="863"/>
      <c r="J740" s="863"/>
      <c r="K740" s="864"/>
      <c r="L740" s="27"/>
      <c r="M740" s="1223"/>
      <c r="N740" s="61"/>
      <c r="O740" s="61"/>
    </row>
    <row r="741" spans="1:15" s="642" customFormat="1" ht="45" x14ac:dyDescent="0.2">
      <c r="A741" s="99"/>
      <c r="B741" s="111"/>
      <c r="C741" s="978"/>
      <c r="D741" s="99"/>
      <c r="E741" s="483" t="s">
        <v>671</v>
      </c>
      <c r="F741" s="1"/>
      <c r="G741" s="38"/>
      <c r="H741" s="155" t="s">
        <v>737</v>
      </c>
      <c r="I741" s="158"/>
      <c r="J741" s="158"/>
      <c r="K741" s="159"/>
      <c r="L741" s="27"/>
      <c r="M741" s="1223"/>
      <c r="N741" s="61"/>
      <c r="O741" s="61"/>
    </row>
    <row r="742" spans="1:15" s="642" customFormat="1" ht="14.25" customHeight="1" x14ac:dyDescent="0.2">
      <c r="A742" s="101"/>
      <c r="B742" s="781"/>
      <c r="C742" s="972"/>
      <c r="D742" s="101"/>
      <c r="E742" s="177"/>
      <c r="F742" s="124">
        <v>115</v>
      </c>
      <c r="G742" s="154" t="s">
        <v>332</v>
      </c>
      <c r="H742" s="96" t="s">
        <v>735</v>
      </c>
      <c r="I742" s="133">
        <v>600000</v>
      </c>
      <c r="J742" s="133"/>
      <c r="K742" s="133">
        <f>SUM(I742:J742)</f>
        <v>600000</v>
      </c>
      <c r="L742" s="27"/>
      <c r="M742" s="1223"/>
      <c r="N742" s="61"/>
      <c r="O742" s="61"/>
    </row>
    <row r="743" spans="1:15" s="642" customFormat="1" ht="15" x14ac:dyDescent="0.2">
      <c r="A743" s="100"/>
      <c r="B743" s="787"/>
      <c r="C743" s="974"/>
      <c r="D743" s="100"/>
      <c r="E743" s="246"/>
      <c r="F743" s="41"/>
      <c r="G743" s="41"/>
      <c r="H743" s="138" t="s">
        <v>94</v>
      </c>
      <c r="I743" s="859"/>
      <c r="J743" s="859"/>
      <c r="K743" s="860"/>
      <c r="L743" s="27"/>
      <c r="M743" s="1223"/>
      <c r="N743" s="61"/>
      <c r="O743" s="61"/>
    </row>
    <row r="744" spans="1:15" s="642" customFormat="1" ht="15" x14ac:dyDescent="0.2">
      <c r="A744" s="99"/>
      <c r="B744" s="111"/>
      <c r="C744" s="978"/>
      <c r="D744" s="99"/>
      <c r="E744" s="176"/>
      <c r="F744" s="1"/>
      <c r="G744" s="38" t="s">
        <v>39</v>
      </c>
      <c r="H744" s="90" t="s">
        <v>40</v>
      </c>
      <c r="I744" s="133">
        <f>SUM(I742)</f>
        <v>600000</v>
      </c>
      <c r="J744" s="133"/>
      <c r="K744" s="133">
        <f>SUM(I744:J744)</f>
        <v>600000</v>
      </c>
      <c r="L744" s="27"/>
      <c r="M744" s="1223"/>
      <c r="N744" s="61"/>
      <c r="O744" s="61"/>
    </row>
    <row r="745" spans="1:15" s="642" customFormat="1" ht="15" x14ac:dyDescent="0.2">
      <c r="A745" s="101"/>
      <c r="B745" s="781"/>
      <c r="C745" s="972"/>
      <c r="D745" s="101"/>
      <c r="E745" s="177"/>
      <c r="F745" s="42"/>
      <c r="G745" s="43"/>
      <c r="H745" s="97" t="s">
        <v>95</v>
      </c>
      <c r="I745" s="170">
        <f>SUM(I744)</f>
        <v>600000</v>
      </c>
      <c r="J745" s="170"/>
      <c r="K745" s="170">
        <f>SUM(K744)</f>
        <v>600000</v>
      </c>
      <c r="L745" s="27"/>
      <c r="M745" s="1223"/>
      <c r="N745" s="61"/>
      <c r="O745" s="61"/>
    </row>
    <row r="746" spans="1:15" ht="15" x14ac:dyDescent="0.2">
      <c r="A746" s="103"/>
      <c r="B746" s="113"/>
      <c r="C746" s="403"/>
      <c r="D746" s="103"/>
      <c r="E746" s="250"/>
      <c r="F746" s="46"/>
      <c r="G746" s="64"/>
      <c r="H746" s="70"/>
      <c r="I746" s="229"/>
      <c r="J746" s="229"/>
      <c r="K746" s="384"/>
    </row>
    <row r="747" spans="1:15" s="642" customFormat="1" x14ac:dyDescent="0.2">
      <c r="A747" s="99"/>
      <c r="B747" s="111"/>
      <c r="C747" s="991" t="s">
        <v>846</v>
      </c>
      <c r="D747" s="99"/>
      <c r="E747" s="176"/>
      <c r="F747" s="1"/>
      <c r="G747" s="38"/>
      <c r="H747" s="29" t="s">
        <v>142</v>
      </c>
      <c r="I747" s="906"/>
      <c r="J747" s="906"/>
      <c r="K747" s="907"/>
      <c r="L747" s="27"/>
      <c r="M747" s="1223"/>
      <c r="N747" s="61"/>
      <c r="O747" s="61"/>
    </row>
    <row r="748" spans="1:15" s="642" customFormat="1" ht="15" x14ac:dyDescent="0.2">
      <c r="A748" s="99"/>
      <c r="B748" s="111"/>
      <c r="C748" s="978"/>
      <c r="D748" s="99"/>
      <c r="E748" s="176"/>
      <c r="F748" s="1"/>
      <c r="G748" s="38"/>
      <c r="H748" s="29"/>
      <c r="I748" s="906"/>
      <c r="J748" s="906"/>
      <c r="K748" s="907"/>
      <c r="L748" s="27"/>
      <c r="M748" s="1223"/>
      <c r="N748" s="61"/>
      <c r="O748" s="61"/>
    </row>
    <row r="749" spans="1:15" s="642" customFormat="1" ht="22.5" x14ac:dyDescent="0.2">
      <c r="A749" s="99"/>
      <c r="B749" s="111"/>
      <c r="C749" s="978"/>
      <c r="D749" s="99"/>
      <c r="E749" s="128" t="s">
        <v>671</v>
      </c>
      <c r="F749" s="1"/>
      <c r="G749" s="38"/>
      <c r="H749" s="155" t="s">
        <v>847</v>
      </c>
      <c r="I749" s="158"/>
      <c r="J749" s="158"/>
      <c r="K749" s="159"/>
      <c r="L749" s="27"/>
      <c r="M749" s="1223"/>
      <c r="N749" s="61"/>
      <c r="O749" s="61"/>
    </row>
    <row r="750" spans="1:15" s="642" customFormat="1" ht="15" x14ac:dyDescent="0.2">
      <c r="A750" s="99"/>
      <c r="B750" s="111"/>
      <c r="C750" s="978"/>
      <c r="D750" s="99"/>
      <c r="E750" s="176"/>
      <c r="F750" s="124">
        <v>116</v>
      </c>
      <c r="G750" s="154" t="s">
        <v>332</v>
      </c>
      <c r="H750" s="96" t="s">
        <v>735</v>
      </c>
      <c r="I750" s="133">
        <v>108000</v>
      </c>
      <c r="J750" s="133"/>
      <c r="K750" s="133">
        <f>SUM(I750:J750)</f>
        <v>108000</v>
      </c>
      <c r="L750" s="27"/>
      <c r="M750" s="1223"/>
      <c r="N750" s="61"/>
      <c r="O750" s="61"/>
    </row>
    <row r="751" spans="1:15" s="642" customFormat="1" ht="15" x14ac:dyDescent="0.2">
      <c r="A751" s="99"/>
      <c r="B751" s="111"/>
      <c r="C751" s="978"/>
      <c r="D751" s="99"/>
      <c r="E751" s="176"/>
      <c r="F751" s="41"/>
      <c r="G751" s="41"/>
      <c r="H751" s="138" t="s">
        <v>141</v>
      </c>
      <c r="I751" s="859"/>
      <c r="J751" s="859"/>
      <c r="K751" s="860"/>
      <c r="L751" s="27"/>
      <c r="M751" s="1223"/>
      <c r="N751" s="61"/>
      <c r="O751" s="61"/>
    </row>
    <row r="752" spans="1:15" s="642" customFormat="1" ht="15" x14ac:dyDescent="0.2">
      <c r="A752" s="99"/>
      <c r="B752" s="111"/>
      <c r="C752" s="978"/>
      <c r="D752" s="99"/>
      <c r="E752" s="176"/>
      <c r="F752" s="1"/>
      <c r="G752" s="38" t="s">
        <v>39</v>
      </c>
      <c r="H752" s="90" t="s">
        <v>40</v>
      </c>
      <c r="I752" s="133">
        <f>SUM(I750-I753)</f>
        <v>46000</v>
      </c>
      <c r="J752" s="133"/>
      <c r="K752" s="133">
        <f>SUM(I752:J752)</f>
        <v>46000</v>
      </c>
      <c r="L752" s="27"/>
      <c r="M752" s="1223"/>
      <c r="N752" s="61"/>
      <c r="O752" s="61"/>
    </row>
    <row r="753" spans="1:15" s="642" customFormat="1" ht="15" x14ac:dyDescent="0.2">
      <c r="A753" s="99"/>
      <c r="B753" s="111"/>
      <c r="C753" s="978"/>
      <c r="D753" s="99"/>
      <c r="E753" s="176"/>
      <c r="F753" s="1"/>
      <c r="G753" s="38" t="s">
        <v>1141</v>
      </c>
      <c r="H753" s="90" t="s">
        <v>1142</v>
      </c>
      <c r="I753" s="133">
        <v>62000</v>
      </c>
      <c r="J753" s="133"/>
      <c r="K753" s="133">
        <f>SUM(I753:J753)</f>
        <v>62000</v>
      </c>
      <c r="L753" s="27"/>
      <c r="M753" s="1223"/>
      <c r="N753" s="61"/>
      <c r="O753" s="61"/>
    </row>
    <row r="754" spans="1:15" s="642" customFormat="1" ht="15" x14ac:dyDescent="0.2">
      <c r="A754" s="99"/>
      <c r="B754" s="111"/>
      <c r="C754" s="978"/>
      <c r="D754" s="99"/>
      <c r="E754" s="176"/>
      <c r="F754" s="42"/>
      <c r="G754" s="43"/>
      <c r="H754" s="97" t="s">
        <v>144</v>
      </c>
      <c r="I754" s="170">
        <f>SUM(I752:I753)</f>
        <v>108000</v>
      </c>
      <c r="J754" s="170"/>
      <c r="K754" s="170">
        <f>SUM(I754:J754)</f>
        <v>108000</v>
      </c>
      <c r="L754" s="27"/>
      <c r="M754" s="1223"/>
      <c r="N754" s="61"/>
      <c r="O754" s="61"/>
    </row>
    <row r="755" spans="1:15" s="642" customFormat="1" ht="15" x14ac:dyDescent="0.2">
      <c r="A755" s="99"/>
      <c r="B755" s="111"/>
      <c r="C755" s="978"/>
      <c r="D755" s="99"/>
      <c r="E755" s="176"/>
      <c r="F755" s="1"/>
      <c r="G755" s="38"/>
      <c r="H755" s="29"/>
      <c r="I755" s="906"/>
      <c r="J755" s="906"/>
      <c r="K755" s="907"/>
      <c r="L755" s="27"/>
      <c r="M755" s="1223"/>
      <c r="N755" s="61"/>
      <c r="O755" s="61"/>
    </row>
    <row r="756" spans="1:15" s="642" customFormat="1" ht="22.5" x14ac:dyDescent="0.2">
      <c r="A756" s="788"/>
      <c r="B756" s="789"/>
      <c r="C756" s="790"/>
      <c r="D756" s="493" t="s">
        <v>310</v>
      </c>
      <c r="E756" s="767"/>
      <c r="F756" s="134"/>
      <c r="G756" s="135"/>
      <c r="H756" s="988" t="s">
        <v>557</v>
      </c>
      <c r="I756" s="817">
        <f>SUM(I766+I775+I780)</f>
        <v>14549998.199999999</v>
      </c>
      <c r="J756" s="817"/>
      <c r="K756" s="818">
        <f>SUM(I756:J756)</f>
        <v>14549998.199999999</v>
      </c>
      <c r="L756" s="887"/>
      <c r="M756" s="1223"/>
      <c r="N756" s="61"/>
      <c r="O756" s="61"/>
    </row>
    <row r="757" spans="1:15" s="642" customFormat="1" x14ac:dyDescent="0.2">
      <c r="A757" s="102"/>
      <c r="B757" s="890"/>
      <c r="C757" s="116"/>
      <c r="D757" s="903"/>
      <c r="E757" s="248"/>
      <c r="F757" s="37"/>
      <c r="G757" s="30"/>
      <c r="H757" s="51"/>
      <c r="I757" s="906"/>
      <c r="J757" s="906"/>
      <c r="K757" s="907"/>
      <c r="L757" s="891"/>
      <c r="M757" s="1223"/>
      <c r="N757" s="61"/>
      <c r="O757" s="61"/>
    </row>
    <row r="758" spans="1:15" s="642" customFormat="1" x14ac:dyDescent="0.2">
      <c r="A758" s="99"/>
      <c r="B758" s="111"/>
      <c r="C758" s="111">
        <v>360</v>
      </c>
      <c r="D758" s="98"/>
      <c r="E758" s="128"/>
      <c r="F758" s="1"/>
      <c r="G758" s="38"/>
      <c r="H758" s="138" t="s">
        <v>205</v>
      </c>
      <c r="I758" s="989"/>
      <c r="J758" s="859"/>
      <c r="K758" s="990"/>
      <c r="L758" s="891"/>
      <c r="M758" s="1223"/>
      <c r="N758" s="61"/>
      <c r="O758" s="61"/>
    </row>
    <row r="759" spans="1:15" s="642" customFormat="1" x14ac:dyDescent="0.2">
      <c r="A759" s="99"/>
      <c r="B759" s="111"/>
      <c r="C759" s="111"/>
      <c r="D759" s="98"/>
      <c r="E759" s="128"/>
      <c r="F759" s="1"/>
      <c r="G759" s="38"/>
      <c r="H759" s="44"/>
      <c r="I759" s="863"/>
      <c r="J759" s="807"/>
      <c r="K759" s="864"/>
      <c r="L759" s="27"/>
      <c r="M759" s="1223"/>
      <c r="N759" s="61"/>
      <c r="O759" s="61"/>
    </row>
    <row r="760" spans="1:15" s="893" customFormat="1" ht="15" x14ac:dyDescent="0.2">
      <c r="A760" s="99"/>
      <c r="B760" s="111"/>
      <c r="C760" s="978"/>
      <c r="D760" s="98"/>
      <c r="E760" s="128" t="s">
        <v>310</v>
      </c>
      <c r="F760" s="1"/>
      <c r="G760" s="506"/>
      <c r="H760" s="507" t="s">
        <v>576</v>
      </c>
      <c r="I760" s="158"/>
      <c r="J760" s="158"/>
      <c r="K760" s="159"/>
      <c r="L760" s="27"/>
      <c r="M760" s="1224"/>
      <c r="N760" s="892"/>
      <c r="O760" s="892"/>
    </row>
    <row r="761" spans="1:15" s="896" customFormat="1" ht="15" x14ac:dyDescent="0.2">
      <c r="A761" s="99"/>
      <c r="B761" s="111"/>
      <c r="C761" s="978"/>
      <c r="D761" s="98"/>
      <c r="E761" s="128"/>
      <c r="F761" s="124">
        <v>117</v>
      </c>
      <c r="G761" s="154" t="s">
        <v>51</v>
      </c>
      <c r="H761" s="90" t="s">
        <v>577</v>
      </c>
      <c r="I761" s="501">
        <f>1649998.2+40000</f>
        <v>1689998.2</v>
      </c>
      <c r="J761" s="133"/>
      <c r="K761" s="133">
        <f>SUM(I761+J761)</f>
        <v>1689998.2</v>
      </c>
      <c r="L761" s="27"/>
      <c r="M761" s="1225"/>
      <c r="N761" s="895"/>
      <c r="O761" s="895"/>
    </row>
    <row r="762" spans="1:15" s="642" customFormat="1" ht="15" x14ac:dyDescent="0.2">
      <c r="A762" s="101"/>
      <c r="B762" s="781"/>
      <c r="C762" s="972"/>
      <c r="D762" s="780"/>
      <c r="E762" s="249"/>
      <c r="F762" s="42"/>
      <c r="G762" s="43"/>
      <c r="H762" s="153" t="s">
        <v>766</v>
      </c>
      <c r="I762" s="979">
        <f>SUM(I761)</f>
        <v>1689998.2</v>
      </c>
      <c r="J762" s="979"/>
      <c r="K762" s="979">
        <f>SUM(K761)</f>
        <v>1689998.2</v>
      </c>
      <c r="L762" s="27"/>
      <c r="M762" s="1223"/>
      <c r="N762" s="61"/>
      <c r="O762" s="61"/>
    </row>
    <row r="763" spans="1:15" s="642" customFormat="1" ht="15" x14ac:dyDescent="0.2">
      <c r="A763" s="99"/>
      <c r="B763" s="111"/>
      <c r="C763" s="978"/>
      <c r="D763" s="99"/>
      <c r="E763" s="176"/>
      <c r="F763" s="1"/>
      <c r="G763" s="1"/>
      <c r="H763" s="138" t="s">
        <v>206</v>
      </c>
      <c r="I763" s="859"/>
      <c r="J763" s="859"/>
      <c r="K763" s="860"/>
      <c r="L763" s="27"/>
      <c r="M763" s="1223"/>
      <c r="N763" s="61"/>
      <c r="O763" s="61"/>
    </row>
    <row r="764" spans="1:15" s="642" customFormat="1" ht="15" x14ac:dyDescent="0.2">
      <c r="A764" s="99"/>
      <c r="B764" s="111"/>
      <c r="C764" s="978"/>
      <c r="D764" s="99"/>
      <c r="E764" s="176"/>
      <c r="F764" s="1"/>
      <c r="G764" s="38" t="s">
        <v>39</v>
      </c>
      <c r="H764" s="90" t="s">
        <v>40</v>
      </c>
      <c r="I764" s="133">
        <f>SUM(I761-I765)</f>
        <v>204999.82000000007</v>
      </c>
      <c r="J764" s="133"/>
      <c r="K764" s="133">
        <f>SUM(I764+J764)</f>
        <v>204999.82000000007</v>
      </c>
      <c r="L764" s="27"/>
      <c r="M764" s="1223"/>
      <c r="N764" s="61"/>
      <c r="O764" s="61"/>
    </row>
    <row r="765" spans="1:15" s="642" customFormat="1" ht="15" x14ac:dyDescent="0.2">
      <c r="A765" s="99"/>
      <c r="B765" s="111"/>
      <c r="C765" s="978"/>
      <c r="D765" s="99"/>
      <c r="E765" s="176"/>
      <c r="F765" s="1"/>
      <c r="G765" s="38" t="s">
        <v>157</v>
      </c>
      <c r="H765" s="90" t="s">
        <v>354</v>
      </c>
      <c r="I765" s="133">
        <v>1484998.38</v>
      </c>
      <c r="J765" s="133"/>
      <c r="K765" s="133">
        <f>SUM(I765+J765)</f>
        <v>1484998.38</v>
      </c>
      <c r="L765" s="27"/>
      <c r="M765" s="1223"/>
      <c r="N765" s="61"/>
      <c r="O765" s="61"/>
    </row>
    <row r="766" spans="1:15" s="642" customFormat="1" ht="14.25" customHeight="1" x14ac:dyDescent="0.2">
      <c r="A766" s="101"/>
      <c r="B766" s="781"/>
      <c r="C766" s="972"/>
      <c r="D766" s="101"/>
      <c r="E766" s="177"/>
      <c r="F766" s="42"/>
      <c r="G766" s="43"/>
      <c r="H766" s="97" t="s">
        <v>270</v>
      </c>
      <c r="I766" s="170">
        <f>SUM(I764:I765)</f>
        <v>1689998.2</v>
      </c>
      <c r="J766" s="170"/>
      <c r="K766" s="170">
        <f>SUM(K764:K765)</f>
        <v>1689998.2</v>
      </c>
      <c r="L766" s="27"/>
      <c r="M766" s="1223"/>
      <c r="N766" s="61"/>
      <c r="O766" s="61"/>
    </row>
    <row r="767" spans="1:15" ht="15" x14ac:dyDescent="0.2">
      <c r="A767" s="103"/>
      <c r="B767" s="113"/>
      <c r="C767" s="403"/>
      <c r="D767" s="103"/>
      <c r="E767" s="250"/>
      <c r="F767" s="46"/>
      <c r="G767" s="64"/>
      <c r="H767" s="55"/>
      <c r="I767" s="59"/>
      <c r="J767" s="59"/>
      <c r="K767" s="373"/>
    </row>
    <row r="768" spans="1:15" s="642" customFormat="1" ht="15" x14ac:dyDescent="0.2">
      <c r="A768" s="99"/>
      <c r="B768" s="111"/>
      <c r="C768" s="978"/>
      <c r="D768" s="98"/>
      <c r="E768" s="128" t="s">
        <v>310</v>
      </c>
      <c r="F768" s="1"/>
      <c r="G768" s="506"/>
      <c r="H768" s="507" t="s">
        <v>578</v>
      </c>
      <c r="I768" s="992"/>
      <c r="J768" s="158"/>
      <c r="K768" s="159"/>
      <c r="L768" s="27"/>
      <c r="M768" s="1223"/>
      <c r="N768" s="61"/>
      <c r="O768" s="61"/>
    </row>
    <row r="769" spans="1:15" s="642" customFormat="1" ht="15" x14ac:dyDescent="0.2">
      <c r="A769" s="99"/>
      <c r="B769" s="111"/>
      <c r="C769" s="978"/>
      <c r="D769" s="98"/>
      <c r="E769" s="128"/>
      <c r="F769" s="124">
        <v>118</v>
      </c>
      <c r="G769" s="154" t="s">
        <v>51</v>
      </c>
      <c r="H769" s="90" t="s">
        <v>577</v>
      </c>
      <c r="I769" s="501">
        <v>4700000</v>
      </c>
      <c r="J769" s="133"/>
      <c r="K769" s="133">
        <f>SUM(I769+J769)</f>
        <v>4700000</v>
      </c>
      <c r="L769" s="27"/>
      <c r="M769" s="1223"/>
      <c r="N769" s="61"/>
      <c r="O769" s="61"/>
    </row>
    <row r="770" spans="1:15" s="642" customFormat="1" ht="22.5" x14ac:dyDescent="0.2">
      <c r="A770" s="101"/>
      <c r="B770" s="781"/>
      <c r="C770" s="972"/>
      <c r="D770" s="780"/>
      <c r="E770" s="249"/>
      <c r="F770" s="42"/>
      <c r="G770" s="43"/>
      <c r="H770" s="153" t="s">
        <v>765</v>
      </c>
      <c r="I770" s="170">
        <f>SUM(I769)</f>
        <v>4700000</v>
      </c>
      <c r="J770" s="162"/>
      <c r="K770" s="162">
        <f>SUM(K769)</f>
        <v>4700000</v>
      </c>
      <c r="L770" s="27"/>
      <c r="M770" s="1223"/>
      <c r="N770" s="61"/>
      <c r="O770" s="61"/>
    </row>
    <row r="771" spans="1:15" s="642" customFormat="1" ht="15" x14ac:dyDescent="0.2">
      <c r="A771" s="99"/>
      <c r="B771" s="111"/>
      <c r="C771" s="978"/>
      <c r="D771" s="99"/>
      <c r="E771" s="176"/>
      <c r="F771" s="1"/>
      <c r="G771" s="1"/>
      <c r="H771" s="138" t="s">
        <v>206</v>
      </c>
      <c r="I771" s="859"/>
      <c r="J771" s="859"/>
      <c r="K771" s="860"/>
      <c r="L771" s="27"/>
      <c r="M771" s="1223"/>
      <c r="N771" s="61"/>
      <c r="O771" s="61"/>
    </row>
    <row r="772" spans="1:15" s="642" customFormat="1" ht="14.25" customHeight="1" x14ac:dyDescent="0.2">
      <c r="A772" s="99"/>
      <c r="B772" s="111"/>
      <c r="C772" s="978"/>
      <c r="D772" s="99"/>
      <c r="E772" s="176"/>
      <c r="F772" s="1"/>
      <c r="G772" s="38" t="s">
        <v>39</v>
      </c>
      <c r="H772" s="90" t="s">
        <v>40</v>
      </c>
      <c r="I772" s="133">
        <f>SUM(I770-I773-I774)</f>
        <v>470000</v>
      </c>
      <c r="J772" s="133"/>
      <c r="K772" s="133">
        <f>SUM(I772+J772)</f>
        <v>470000</v>
      </c>
      <c r="L772" s="27"/>
      <c r="M772" s="1223"/>
      <c r="N772" s="61"/>
      <c r="O772" s="61"/>
    </row>
    <row r="773" spans="1:15" s="642" customFormat="1" ht="15" x14ac:dyDescent="0.2">
      <c r="A773" s="99"/>
      <c r="B773" s="111"/>
      <c r="C773" s="978"/>
      <c r="D773" s="99"/>
      <c r="E773" s="176"/>
      <c r="F773" s="1"/>
      <c r="G773" s="38" t="s">
        <v>157</v>
      </c>
      <c r="H773" s="90" t="s">
        <v>354</v>
      </c>
      <c r="I773" s="133">
        <v>3780000</v>
      </c>
      <c r="J773" s="133"/>
      <c r="K773" s="133">
        <f>SUM(I773+J773)</f>
        <v>3780000</v>
      </c>
      <c r="L773" s="27"/>
      <c r="M773" s="1223"/>
      <c r="N773" s="61"/>
      <c r="O773" s="61"/>
    </row>
    <row r="774" spans="1:15" s="642" customFormat="1" ht="15" x14ac:dyDescent="0.2">
      <c r="A774" s="99"/>
      <c r="B774" s="111"/>
      <c r="C774" s="978"/>
      <c r="D774" s="99"/>
      <c r="E774" s="176"/>
      <c r="F774" s="1"/>
      <c r="G774" s="38" t="s">
        <v>1141</v>
      </c>
      <c r="H774" s="90" t="s">
        <v>1142</v>
      </c>
      <c r="I774" s="133">
        <v>450000</v>
      </c>
      <c r="J774" s="133"/>
      <c r="K774" s="133">
        <f>SUM(I774+J774)</f>
        <v>450000</v>
      </c>
      <c r="L774" s="27"/>
      <c r="M774" s="1223"/>
      <c r="N774" s="61"/>
      <c r="O774" s="61"/>
    </row>
    <row r="775" spans="1:15" s="642" customFormat="1" ht="18" customHeight="1" x14ac:dyDescent="0.2">
      <c r="A775" s="101"/>
      <c r="B775" s="781"/>
      <c r="C775" s="972"/>
      <c r="D775" s="101"/>
      <c r="E775" s="177"/>
      <c r="F775" s="42"/>
      <c r="G775" s="43"/>
      <c r="H775" s="96" t="s">
        <v>270</v>
      </c>
      <c r="I775" s="173">
        <f>SUM(I772:I774)</f>
        <v>4700000</v>
      </c>
      <c r="J775" s="173"/>
      <c r="K775" s="173">
        <f>SUM(K772:K774)</f>
        <v>4700000</v>
      </c>
      <c r="L775" s="27"/>
      <c r="M775" s="1223"/>
      <c r="N775" s="61"/>
      <c r="O775" s="61"/>
    </row>
    <row r="776" spans="1:15" ht="15.75" customHeight="1" x14ac:dyDescent="0.2">
      <c r="A776" s="103"/>
      <c r="B776" s="113"/>
      <c r="C776" s="403"/>
      <c r="D776" s="103"/>
      <c r="E776" s="250"/>
      <c r="F776" s="46"/>
      <c r="G776" s="64"/>
      <c r="H776" s="55"/>
      <c r="I776" s="59"/>
      <c r="J776" s="59"/>
      <c r="K776" s="373"/>
    </row>
    <row r="777" spans="1:15" ht="16.5" customHeight="1" x14ac:dyDescent="0.2">
      <c r="A777" s="103"/>
      <c r="B777" s="113"/>
      <c r="C777" s="403"/>
      <c r="D777" s="103"/>
      <c r="E777" s="128" t="s">
        <v>310</v>
      </c>
      <c r="F777" s="1"/>
      <c r="G777" s="506"/>
      <c r="H777" s="507" t="s">
        <v>1094</v>
      </c>
      <c r="I777" s="158"/>
      <c r="J777" s="158"/>
      <c r="K777" s="159"/>
    </row>
    <row r="778" spans="1:15" ht="13.5" customHeight="1" x14ac:dyDescent="0.2">
      <c r="A778" s="103"/>
      <c r="B778" s="113"/>
      <c r="C778" s="403"/>
      <c r="D778" s="103"/>
      <c r="E778" s="128"/>
      <c r="F778" s="124" t="s">
        <v>1091</v>
      </c>
      <c r="G778" s="154" t="s">
        <v>51</v>
      </c>
      <c r="H778" s="90" t="s">
        <v>10</v>
      </c>
      <c r="I778" s="472">
        <v>160000</v>
      </c>
      <c r="J778" s="160"/>
      <c r="K778" s="160">
        <f>SUM(I778+J778)</f>
        <v>160000</v>
      </c>
    </row>
    <row r="779" spans="1:15" ht="13.5" customHeight="1" x14ac:dyDescent="0.2">
      <c r="A779" s="103"/>
      <c r="B779" s="113"/>
      <c r="C779" s="403"/>
      <c r="D779" s="103"/>
      <c r="E779" s="128"/>
      <c r="F779" s="95" t="s">
        <v>1092</v>
      </c>
      <c r="G779" s="43" t="s">
        <v>699</v>
      </c>
      <c r="H779" s="90" t="s">
        <v>60</v>
      </c>
      <c r="I779" s="472">
        <v>8000000</v>
      </c>
      <c r="J779" s="160"/>
      <c r="K779" s="160">
        <f>SUM(I779+J779)</f>
        <v>8000000</v>
      </c>
    </row>
    <row r="780" spans="1:15" ht="22.5" customHeight="1" x14ac:dyDescent="0.2">
      <c r="A780" s="103"/>
      <c r="B780" s="113"/>
      <c r="C780" s="403"/>
      <c r="D780" s="103"/>
      <c r="E780" s="249"/>
      <c r="F780" s="42"/>
      <c r="G780" s="43"/>
      <c r="H780" s="153" t="s">
        <v>1093</v>
      </c>
      <c r="I780" s="192">
        <f>SUM(I778:I779)</f>
        <v>8160000</v>
      </c>
      <c r="J780" s="192"/>
      <c r="K780" s="192">
        <f>SUM(I780:J780)</f>
        <v>8160000</v>
      </c>
    </row>
    <row r="781" spans="1:15" s="642" customFormat="1" ht="13.5" customHeight="1" x14ac:dyDescent="0.2">
      <c r="A781" s="99"/>
      <c r="B781" s="111"/>
      <c r="C781" s="978"/>
      <c r="D781" s="99"/>
      <c r="E781" s="176"/>
      <c r="F781" s="1"/>
      <c r="G781" s="1"/>
      <c r="H781" s="138" t="s">
        <v>206</v>
      </c>
      <c r="I781" s="859"/>
      <c r="J781" s="859"/>
      <c r="K781" s="860"/>
      <c r="L781" s="27"/>
      <c r="M781" s="1223"/>
      <c r="N781" s="61"/>
      <c r="O781" s="61"/>
    </row>
    <row r="782" spans="1:15" s="642" customFormat="1" ht="12.75" customHeight="1" x14ac:dyDescent="0.2">
      <c r="A782" s="99"/>
      <c r="B782" s="111"/>
      <c r="C782" s="978"/>
      <c r="D782" s="99"/>
      <c r="E782" s="176"/>
      <c r="F782" s="1"/>
      <c r="G782" s="38" t="s">
        <v>39</v>
      </c>
      <c r="H782" s="90" t="s">
        <v>40</v>
      </c>
      <c r="I782" s="133">
        <f>SUM(I784-I783)</f>
        <v>8159000</v>
      </c>
      <c r="J782" s="133"/>
      <c r="K782" s="133">
        <f>SUM(I782+J782)</f>
        <v>8159000</v>
      </c>
      <c r="L782" s="27"/>
      <c r="M782" s="1223"/>
      <c r="N782" s="61"/>
      <c r="O782" s="61"/>
    </row>
    <row r="783" spans="1:15" s="642" customFormat="1" ht="16.5" customHeight="1" x14ac:dyDescent="0.2">
      <c r="A783" s="99"/>
      <c r="B783" s="111"/>
      <c r="C783" s="978"/>
      <c r="D783" s="99"/>
      <c r="E783" s="176"/>
      <c r="F783" s="1"/>
      <c r="G783" s="38" t="s">
        <v>157</v>
      </c>
      <c r="H783" s="90" t="s">
        <v>354</v>
      </c>
      <c r="I783" s="133">
        <v>1000</v>
      </c>
      <c r="J783" s="133"/>
      <c r="K783" s="133">
        <f>SUM(I783+J783)</f>
        <v>1000</v>
      </c>
      <c r="L783" s="27"/>
      <c r="M783" s="1223"/>
      <c r="N783" s="61"/>
      <c r="O783" s="61"/>
    </row>
    <row r="784" spans="1:15" s="642" customFormat="1" ht="15" customHeight="1" x14ac:dyDescent="0.2">
      <c r="A784" s="99"/>
      <c r="B784" s="111"/>
      <c r="C784" s="978"/>
      <c r="D784" s="99"/>
      <c r="E784" s="177"/>
      <c r="F784" s="42"/>
      <c r="G784" s="43"/>
      <c r="H784" s="97" t="s">
        <v>270</v>
      </c>
      <c r="I784" s="170">
        <f>SUM(I780)</f>
        <v>8160000</v>
      </c>
      <c r="J784" s="170"/>
      <c r="K784" s="170">
        <f>SUM(K782:K783)</f>
        <v>8160000</v>
      </c>
      <c r="L784" s="27"/>
      <c r="M784" s="1223"/>
      <c r="N784" s="61"/>
      <c r="O784" s="61"/>
    </row>
    <row r="785" spans="1:15" ht="17.25" customHeight="1" x14ac:dyDescent="0.2">
      <c r="A785" s="103"/>
      <c r="B785" s="113"/>
      <c r="C785" s="403"/>
      <c r="D785" s="103"/>
      <c r="E785" s="250"/>
      <c r="F785" s="46"/>
      <c r="G785" s="64"/>
      <c r="H785" s="55"/>
      <c r="I785" s="59"/>
      <c r="J785" s="59"/>
      <c r="K785" s="373"/>
    </row>
    <row r="786" spans="1:15" s="642" customFormat="1" x14ac:dyDescent="0.2">
      <c r="A786" s="917"/>
      <c r="B786" s="993"/>
      <c r="C786" s="789"/>
      <c r="D786" s="912">
        <v>1502</v>
      </c>
      <c r="E786" s="148"/>
      <c r="F786" s="134"/>
      <c r="G786" s="135"/>
      <c r="H786" s="220" t="s">
        <v>282</v>
      </c>
      <c r="I786" s="817">
        <f>SUM(I847)</f>
        <v>9299400</v>
      </c>
      <c r="J786" s="817">
        <f>SUM(J847)</f>
        <v>176000</v>
      </c>
      <c r="K786" s="818">
        <f>SUM(K847)</f>
        <v>9475400</v>
      </c>
      <c r="L786" s="887"/>
      <c r="M786" s="1223"/>
      <c r="N786" s="61"/>
      <c r="O786" s="61"/>
    </row>
    <row r="787" spans="1:15" s="642" customFormat="1" x14ac:dyDescent="0.2">
      <c r="A787" s="917"/>
      <c r="B787" s="993"/>
      <c r="C787" s="789"/>
      <c r="D787" s="912"/>
      <c r="E787" s="148"/>
      <c r="F787" s="134"/>
      <c r="G787" s="135"/>
      <c r="H787" s="144"/>
      <c r="I787" s="822"/>
      <c r="J787" s="822"/>
      <c r="K787" s="994"/>
      <c r="L787" s="887"/>
      <c r="M787" s="1223"/>
      <c r="N787" s="61"/>
      <c r="O787" s="61"/>
    </row>
    <row r="788" spans="1:15" s="642" customFormat="1" x14ac:dyDescent="0.2">
      <c r="A788" s="94"/>
      <c r="B788" s="112"/>
      <c r="C788" s="111">
        <v>473</v>
      </c>
      <c r="D788" s="98"/>
      <c r="E788" s="128"/>
      <c r="F788" s="1"/>
      <c r="G788" s="40"/>
      <c r="H788" s="138" t="s">
        <v>68</v>
      </c>
      <c r="I788" s="859"/>
      <c r="J788" s="859"/>
      <c r="K788" s="860"/>
      <c r="L788" s="27"/>
      <c r="M788" s="1223"/>
      <c r="N788" s="61"/>
      <c r="O788" s="61"/>
    </row>
    <row r="789" spans="1:15" s="642" customFormat="1" x14ac:dyDescent="0.2">
      <c r="A789" s="99"/>
      <c r="B789" s="948"/>
      <c r="C789" s="111"/>
      <c r="D789" s="98"/>
      <c r="E789" s="128"/>
      <c r="F789" s="1"/>
      <c r="G789" s="38"/>
      <c r="H789" s="44"/>
      <c r="I789" s="807"/>
      <c r="J789" s="807"/>
      <c r="K789" s="808"/>
      <c r="L789" s="27"/>
      <c r="M789" s="1223"/>
      <c r="N789" s="61"/>
      <c r="O789" s="61"/>
    </row>
    <row r="790" spans="1:15" s="893" customFormat="1" x14ac:dyDescent="0.2">
      <c r="A790" s="98"/>
      <c r="B790" s="111">
        <v>2</v>
      </c>
      <c r="C790" s="111"/>
      <c r="D790" s="98"/>
      <c r="E790" s="128"/>
      <c r="F790" s="39"/>
      <c r="G790" s="506"/>
      <c r="H790" s="138" t="s">
        <v>69</v>
      </c>
      <c r="I790" s="859"/>
      <c r="J790" s="859"/>
      <c r="K790" s="860"/>
      <c r="L790" s="27"/>
      <c r="M790" s="1224"/>
      <c r="N790" s="892"/>
      <c r="O790" s="892"/>
    </row>
    <row r="791" spans="1:15" s="893" customFormat="1" x14ac:dyDescent="0.2">
      <c r="A791" s="98"/>
      <c r="B791" s="111"/>
      <c r="C791" s="111"/>
      <c r="D791" s="98"/>
      <c r="E791" s="128"/>
      <c r="F791" s="39"/>
      <c r="G791" s="506"/>
      <c r="H791" s="44"/>
      <c r="I791" s="807"/>
      <c r="J791" s="807"/>
      <c r="K791" s="808"/>
      <c r="L791" s="27"/>
      <c r="M791" s="1224"/>
      <c r="N791" s="892"/>
      <c r="O791" s="892"/>
    </row>
    <row r="792" spans="1:15" s="642" customFormat="1" x14ac:dyDescent="0.2">
      <c r="A792" s="98"/>
      <c r="B792" s="111"/>
      <c r="C792" s="111"/>
      <c r="D792" s="98"/>
      <c r="E792" s="128"/>
      <c r="F792" s="1"/>
      <c r="G792" s="38"/>
      <c r="H792" s="136" t="s">
        <v>334</v>
      </c>
      <c r="I792" s="995"/>
      <c r="J792" s="995"/>
      <c r="K792" s="488"/>
      <c r="L792" s="27"/>
      <c r="M792" s="1223"/>
      <c r="N792" s="61"/>
      <c r="O792" s="61"/>
    </row>
    <row r="793" spans="1:15" s="642" customFormat="1" x14ac:dyDescent="0.2">
      <c r="A793" s="98"/>
      <c r="B793" s="111"/>
      <c r="C793" s="111"/>
      <c r="D793" s="98"/>
      <c r="E793" s="128" t="s">
        <v>283</v>
      </c>
      <c r="F793" s="1"/>
      <c r="G793" s="38"/>
      <c r="H793" s="137" t="s">
        <v>284</v>
      </c>
      <c r="I793" s="833"/>
      <c r="J793" s="833"/>
      <c r="K793" s="492"/>
      <c r="L793" s="27"/>
      <c r="M793" s="1223"/>
      <c r="N793" s="61"/>
      <c r="O793" s="61"/>
    </row>
    <row r="794" spans="1:15" s="642" customFormat="1" x14ac:dyDescent="0.2">
      <c r="A794" s="912"/>
      <c r="B794" s="789"/>
      <c r="C794" s="789"/>
      <c r="D794" s="912"/>
      <c r="E794" s="148"/>
      <c r="F794" s="134"/>
      <c r="G794" s="135"/>
      <c r="H794" s="144"/>
      <c r="I794" s="824"/>
      <c r="J794" s="824"/>
      <c r="K794" s="498"/>
      <c r="L794" s="887"/>
      <c r="M794" s="1223"/>
      <c r="N794" s="61"/>
      <c r="O794" s="61"/>
    </row>
    <row r="795" spans="1:15" s="642" customFormat="1" ht="15" x14ac:dyDescent="0.25">
      <c r="A795" s="99"/>
      <c r="B795" s="111"/>
      <c r="C795" s="119"/>
      <c r="D795" s="99"/>
      <c r="E795" s="176"/>
      <c r="F795" s="124">
        <v>119</v>
      </c>
      <c r="G795" s="95">
        <v>411</v>
      </c>
      <c r="H795" s="90" t="s">
        <v>2</v>
      </c>
      <c r="I795" s="996">
        <v>3146735</v>
      </c>
      <c r="J795" s="1279">
        <v>0</v>
      </c>
      <c r="K795" s="133">
        <f>SUM(I795:J795)</f>
        <v>3146735</v>
      </c>
      <c r="L795" s="27"/>
      <c r="M795" s="1223"/>
      <c r="N795" s="61"/>
      <c r="O795" s="61"/>
    </row>
    <row r="796" spans="1:15" s="642" customFormat="1" ht="15" x14ac:dyDescent="0.25">
      <c r="A796" s="99"/>
      <c r="B796" s="111"/>
      <c r="C796" s="119"/>
      <c r="D796" s="99"/>
      <c r="E796" s="176"/>
      <c r="F796" s="124">
        <v>120</v>
      </c>
      <c r="G796" s="95">
        <v>412</v>
      </c>
      <c r="H796" s="89" t="s">
        <v>3</v>
      </c>
      <c r="I796" s="996">
        <v>563265</v>
      </c>
      <c r="J796" s="1279">
        <v>0</v>
      </c>
      <c r="K796" s="133">
        <f t="shared" ref="K796:K810" si="58">SUM(I796:J796)</f>
        <v>563265</v>
      </c>
      <c r="L796" s="27"/>
      <c r="M796" s="1223"/>
      <c r="N796" s="61"/>
      <c r="O796" s="61"/>
    </row>
    <row r="797" spans="1:15" s="642" customFormat="1" x14ac:dyDescent="0.2">
      <c r="A797" s="99"/>
      <c r="B797" s="111"/>
      <c r="C797" s="119"/>
      <c r="D797" s="99"/>
      <c r="E797" s="176"/>
      <c r="F797" s="124">
        <v>121</v>
      </c>
      <c r="G797" s="95">
        <v>413</v>
      </c>
      <c r="H797" s="89" t="s">
        <v>34</v>
      </c>
      <c r="I797" s="1280">
        <v>40000</v>
      </c>
      <c r="J797" s="501"/>
      <c r="K797" s="133">
        <f t="shared" si="58"/>
        <v>40000</v>
      </c>
      <c r="L797" s="27"/>
      <c r="M797" s="1223"/>
      <c r="N797" s="61"/>
      <c r="O797" s="61"/>
    </row>
    <row r="798" spans="1:15" s="893" customFormat="1" x14ac:dyDescent="0.2">
      <c r="A798" s="99"/>
      <c r="B798" s="111"/>
      <c r="C798" s="119"/>
      <c r="D798" s="99"/>
      <c r="E798" s="176"/>
      <c r="F798" s="124">
        <v>122</v>
      </c>
      <c r="G798" s="95">
        <v>414</v>
      </c>
      <c r="H798" s="89" t="s">
        <v>35</v>
      </c>
      <c r="I798" s="150">
        <v>50000</v>
      </c>
      <c r="J798" s="501"/>
      <c r="K798" s="133">
        <f t="shared" si="58"/>
        <v>50000</v>
      </c>
      <c r="L798" s="27"/>
      <c r="M798" s="1224"/>
      <c r="N798" s="892"/>
      <c r="O798" s="892"/>
    </row>
    <row r="799" spans="1:15" s="642" customFormat="1" x14ac:dyDescent="0.2">
      <c r="A799" s="99"/>
      <c r="B799" s="111"/>
      <c r="C799" s="119"/>
      <c r="D799" s="99"/>
      <c r="E799" s="176"/>
      <c r="F799" s="124">
        <v>123</v>
      </c>
      <c r="G799" s="95">
        <v>415</v>
      </c>
      <c r="H799" s="89" t="s">
        <v>5</v>
      </c>
      <c r="I799" s="1280">
        <v>130000</v>
      </c>
      <c r="J799" s="501"/>
      <c r="K799" s="133">
        <f t="shared" si="58"/>
        <v>130000</v>
      </c>
      <c r="L799" s="27"/>
      <c r="M799" s="1223"/>
      <c r="N799" s="61"/>
      <c r="O799" s="61"/>
    </row>
    <row r="800" spans="1:15" s="642" customFormat="1" x14ac:dyDescent="0.2">
      <c r="A800" s="99"/>
      <c r="B800" s="111"/>
      <c r="C800" s="119"/>
      <c r="D800" s="99"/>
      <c r="E800" s="176"/>
      <c r="F800" s="124">
        <v>124</v>
      </c>
      <c r="G800" s="95">
        <v>416</v>
      </c>
      <c r="H800" s="89" t="s">
        <v>6</v>
      </c>
      <c r="I800" s="150">
        <v>54400</v>
      </c>
      <c r="J800" s="501"/>
      <c r="K800" s="133">
        <f t="shared" si="58"/>
        <v>54400</v>
      </c>
      <c r="L800" s="27"/>
      <c r="M800" s="1223"/>
      <c r="N800" s="61"/>
      <c r="O800" s="61"/>
    </row>
    <row r="801" spans="1:15" s="642" customFormat="1" x14ac:dyDescent="0.2">
      <c r="A801" s="99"/>
      <c r="B801" s="111"/>
      <c r="C801" s="119"/>
      <c r="D801" s="99"/>
      <c r="E801" s="176"/>
      <c r="F801" s="124">
        <v>125</v>
      </c>
      <c r="G801" s="95">
        <v>421</v>
      </c>
      <c r="H801" s="89" t="s">
        <v>7</v>
      </c>
      <c r="I801" s="1280">
        <v>155000</v>
      </c>
      <c r="J801" s="1279">
        <v>2000</v>
      </c>
      <c r="K801" s="133">
        <f t="shared" si="58"/>
        <v>157000</v>
      </c>
      <c r="L801" s="27"/>
      <c r="M801" s="1223"/>
      <c r="N801" s="61"/>
      <c r="O801" s="61"/>
    </row>
    <row r="802" spans="1:15" s="642" customFormat="1" x14ac:dyDescent="0.2">
      <c r="A802" s="99"/>
      <c r="B802" s="111"/>
      <c r="C802" s="119"/>
      <c r="D802" s="99"/>
      <c r="E802" s="176"/>
      <c r="F802" s="124">
        <v>126</v>
      </c>
      <c r="G802" s="95">
        <v>422</v>
      </c>
      <c r="H802" s="90" t="s">
        <v>8</v>
      </c>
      <c r="I802" s="1280">
        <v>100000</v>
      </c>
      <c r="J802" s="501"/>
      <c r="K802" s="133">
        <f t="shared" si="58"/>
        <v>100000</v>
      </c>
      <c r="L802" s="27"/>
      <c r="M802" s="1223"/>
      <c r="N802" s="61"/>
      <c r="O802" s="61"/>
    </row>
    <row r="803" spans="1:15" s="642" customFormat="1" x14ac:dyDescent="0.2">
      <c r="A803" s="101"/>
      <c r="B803" s="781"/>
      <c r="C803" s="121"/>
      <c r="D803" s="101"/>
      <c r="E803" s="177"/>
      <c r="F803" s="124">
        <v>127</v>
      </c>
      <c r="G803" s="95">
        <v>423</v>
      </c>
      <c r="H803" s="90" t="s">
        <v>9</v>
      </c>
      <c r="I803" s="1280">
        <v>655000</v>
      </c>
      <c r="J803" s="501"/>
      <c r="K803" s="133">
        <f t="shared" si="58"/>
        <v>655000</v>
      </c>
      <c r="L803" s="27"/>
      <c r="M803" s="1223"/>
      <c r="N803" s="61"/>
      <c r="O803" s="61"/>
    </row>
    <row r="804" spans="1:15" s="642" customFormat="1" x14ac:dyDescent="0.2">
      <c r="A804" s="99"/>
      <c r="B804" s="111"/>
      <c r="C804" s="119"/>
      <c r="D804" s="99"/>
      <c r="E804" s="176"/>
      <c r="F804" s="124">
        <v>128</v>
      </c>
      <c r="G804" s="95">
        <v>424</v>
      </c>
      <c r="H804" s="90" t="s">
        <v>10</v>
      </c>
      <c r="I804" s="1280">
        <v>300000</v>
      </c>
      <c r="J804" s="501"/>
      <c r="K804" s="133">
        <f t="shared" si="58"/>
        <v>300000</v>
      </c>
      <c r="L804" s="27"/>
      <c r="M804" s="1223"/>
      <c r="N804" s="61"/>
      <c r="O804" s="61"/>
    </row>
    <row r="805" spans="1:15" s="642" customFormat="1" x14ac:dyDescent="0.2">
      <c r="A805" s="100"/>
      <c r="B805" s="787"/>
      <c r="C805" s="120"/>
      <c r="D805" s="100"/>
      <c r="E805" s="246"/>
      <c r="F805" s="124">
        <v>129</v>
      </c>
      <c r="G805" s="95">
        <v>425</v>
      </c>
      <c r="H805" s="90" t="s">
        <v>11</v>
      </c>
      <c r="I805" s="1280">
        <v>10000</v>
      </c>
      <c r="J805" s="501"/>
      <c r="K805" s="133">
        <f t="shared" si="58"/>
        <v>10000</v>
      </c>
      <c r="L805" s="27"/>
      <c r="M805" s="1223"/>
      <c r="N805" s="61"/>
      <c r="O805" s="61"/>
    </row>
    <row r="806" spans="1:15" s="642" customFormat="1" x14ac:dyDescent="0.2">
      <c r="A806" s="99"/>
      <c r="B806" s="111"/>
      <c r="C806" s="119"/>
      <c r="D806" s="99"/>
      <c r="E806" s="176"/>
      <c r="F806" s="124">
        <v>130</v>
      </c>
      <c r="G806" s="95">
        <v>426</v>
      </c>
      <c r="H806" s="90" t="s">
        <v>36</v>
      </c>
      <c r="I806" s="1280">
        <v>45000</v>
      </c>
      <c r="J806" s="1279">
        <v>0</v>
      </c>
      <c r="K806" s="133">
        <f t="shared" si="58"/>
        <v>45000</v>
      </c>
      <c r="L806" s="27"/>
      <c r="M806" s="1223"/>
      <c r="N806" s="61"/>
      <c r="O806" s="61"/>
    </row>
    <row r="807" spans="1:15" s="642" customFormat="1" x14ac:dyDescent="0.2">
      <c r="A807" s="99"/>
      <c r="B807" s="111"/>
      <c r="C807" s="119"/>
      <c r="D807" s="99"/>
      <c r="E807" s="176"/>
      <c r="F807" s="124">
        <v>131</v>
      </c>
      <c r="G807" s="95">
        <v>465</v>
      </c>
      <c r="H807" s="90" t="s">
        <v>218</v>
      </c>
      <c r="I807" s="150">
        <v>371000</v>
      </c>
      <c r="J807" s="1279">
        <v>0</v>
      </c>
      <c r="K807" s="133">
        <f t="shared" si="58"/>
        <v>371000</v>
      </c>
      <c r="L807" s="27"/>
      <c r="M807" s="1223"/>
      <c r="N807" s="61"/>
      <c r="O807" s="61"/>
    </row>
    <row r="808" spans="1:15" s="642" customFormat="1" x14ac:dyDescent="0.2">
      <c r="A808" s="99"/>
      <c r="B808" s="111"/>
      <c r="C808" s="119"/>
      <c r="D808" s="99"/>
      <c r="E808" s="176"/>
      <c r="F808" s="124">
        <v>132</v>
      </c>
      <c r="G808" s="95">
        <v>482</v>
      </c>
      <c r="H808" s="90" t="s">
        <v>17</v>
      </c>
      <c r="I808" s="150">
        <v>35000</v>
      </c>
      <c r="J808" s="501">
        <v>2000</v>
      </c>
      <c r="K808" s="133">
        <f t="shared" si="58"/>
        <v>37000</v>
      </c>
      <c r="L808" s="27"/>
      <c r="M808" s="1223"/>
      <c r="N808" s="61"/>
      <c r="O808" s="61"/>
    </row>
    <row r="809" spans="1:15" s="642" customFormat="1" x14ac:dyDescent="0.2">
      <c r="A809" s="99"/>
      <c r="B809" s="111"/>
      <c r="C809" s="119"/>
      <c r="D809" s="99"/>
      <c r="E809" s="176"/>
      <c r="F809" s="124">
        <v>133</v>
      </c>
      <c r="G809" s="95">
        <v>483</v>
      </c>
      <c r="H809" s="90" t="s">
        <v>140</v>
      </c>
      <c r="I809" s="150">
        <v>50000</v>
      </c>
      <c r="J809" s="501"/>
      <c r="K809" s="133">
        <f t="shared" si="58"/>
        <v>50000</v>
      </c>
      <c r="L809" s="27"/>
      <c r="M809" s="1223"/>
      <c r="N809" s="61"/>
      <c r="O809" s="61"/>
    </row>
    <row r="810" spans="1:15" s="642" customFormat="1" x14ac:dyDescent="0.2">
      <c r="A810" s="99"/>
      <c r="B810" s="111"/>
      <c r="C810" s="119"/>
      <c r="D810" s="99"/>
      <c r="E810" s="176"/>
      <c r="F810" s="124">
        <v>134</v>
      </c>
      <c r="G810" s="95">
        <v>512</v>
      </c>
      <c r="H810" s="90" t="s">
        <v>60</v>
      </c>
      <c r="I810" s="1280">
        <v>100000</v>
      </c>
      <c r="J810" s="1279">
        <v>0</v>
      </c>
      <c r="K810" s="133">
        <f t="shared" si="58"/>
        <v>100000</v>
      </c>
      <c r="L810" s="27"/>
      <c r="M810" s="1223"/>
      <c r="N810" s="61"/>
      <c r="O810" s="61"/>
    </row>
    <row r="811" spans="1:15" s="642" customFormat="1" x14ac:dyDescent="0.2">
      <c r="A811" s="99"/>
      <c r="B811" s="111"/>
      <c r="C811" s="119"/>
      <c r="D811" s="99"/>
      <c r="E811" s="176"/>
      <c r="F811" s="124">
        <v>135</v>
      </c>
      <c r="G811" s="95">
        <v>515</v>
      </c>
      <c r="H811" s="90" t="s">
        <v>23</v>
      </c>
      <c r="I811" s="1280">
        <v>1000</v>
      </c>
      <c r="J811" s="501"/>
      <c r="K811" s="133">
        <f>SUM(I811:J811)</f>
        <v>1000</v>
      </c>
      <c r="L811" s="27"/>
      <c r="M811" s="1223"/>
      <c r="N811" s="61"/>
      <c r="O811" s="61"/>
    </row>
    <row r="812" spans="1:15" s="642" customFormat="1" x14ac:dyDescent="0.2">
      <c r="A812" s="99"/>
      <c r="B812" s="111"/>
      <c r="C812" s="119"/>
      <c r="D812" s="99"/>
      <c r="E812" s="176"/>
      <c r="F812" s="1"/>
      <c r="G812" s="1"/>
      <c r="H812" s="97" t="s">
        <v>371</v>
      </c>
      <c r="I812" s="505">
        <f>SUM(I795:I811)</f>
        <v>5806400</v>
      </c>
      <c r="J812" s="505">
        <f>SUM(J795:J811)</f>
        <v>4000</v>
      </c>
      <c r="K812" s="505">
        <f>SUM(K795:K811)</f>
        <v>5810400</v>
      </c>
      <c r="L812" s="27"/>
      <c r="M812" s="1223"/>
      <c r="N812" s="61"/>
      <c r="O812" s="61"/>
    </row>
    <row r="813" spans="1:15" s="642" customFormat="1" x14ac:dyDescent="0.2">
      <c r="A813" s="99"/>
      <c r="B813" s="111"/>
      <c r="C813" s="119"/>
      <c r="D813" s="99"/>
      <c r="E813" s="176"/>
      <c r="F813" s="1"/>
      <c r="G813" s="1"/>
      <c r="H813" s="997"/>
      <c r="I813" s="998"/>
      <c r="J813" s="998"/>
      <c r="K813" s="999"/>
      <c r="L813" s="27"/>
      <c r="M813" s="1223"/>
      <c r="N813" s="61"/>
      <c r="O813" s="61"/>
    </row>
    <row r="814" spans="1:15" s="642" customFormat="1" ht="15" x14ac:dyDescent="0.2">
      <c r="A814" s="99"/>
      <c r="B814" s="111"/>
      <c r="C814" s="978"/>
      <c r="D814" s="99"/>
      <c r="E814" s="176"/>
      <c r="F814" s="1"/>
      <c r="G814" s="38" t="s">
        <v>39</v>
      </c>
      <c r="H814" s="90" t="s">
        <v>40</v>
      </c>
      <c r="I814" s="133">
        <f>SUM(I812)</f>
        <v>5806400</v>
      </c>
      <c r="J814" s="133"/>
      <c r="K814" s="133">
        <f>SUM(I814+J814)</f>
        <v>5806400</v>
      </c>
      <c r="L814" s="27"/>
      <c r="M814" s="1223"/>
      <c r="N814" s="61"/>
      <c r="O814" s="61"/>
    </row>
    <row r="815" spans="1:15" s="642" customFormat="1" ht="15" x14ac:dyDescent="0.2">
      <c r="A815" s="99"/>
      <c r="B815" s="111"/>
      <c r="C815" s="978"/>
      <c r="D815" s="99"/>
      <c r="E815" s="176"/>
      <c r="F815" s="1"/>
      <c r="G815" s="38" t="s">
        <v>66</v>
      </c>
      <c r="H815" s="90" t="s">
        <v>67</v>
      </c>
      <c r="I815" s="133"/>
      <c r="J815" s="133">
        <f>SUM(J812)</f>
        <v>4000</v>
      </c>
      <c r="K815" s="133">
        <f>SUM(I815:J815)</f>
        <v>4000</v>
      </c>
      <c r="L815" s="27"/>
      <c r="M815" s="1223"/>
      <c r="N815" s="61"/>
      <c r="O815" s="61"/>
    </row>
    <row r="816" spans="1:15" s="642" customFormat="1" ht="15" x14ac:dyDescent="0.2">
      <c r="A816" s="101"/>
      <c r="B816" s="781"/>
      <c r="C816" s="972"/>
      <c r="D816" s="101"/>
      <c r="E816" s="177"/>
      <c r="F816" s="42"/>
      <c r="G816" s="43"/>
      <c r="H816" s="97" t="s">
        <v>371</v>
      </c>
      <c r="I816" s="170">
        <f>SUM(I814:I815)</f>
        <v>5806400</v>
      </c>
      <c r="J816" s="170">
        <f>SUM(J814:J815)</f>
        <v>4000</v>
      </c>
      <c r="K816" s="170">
        <f>SUM(K814:K815)</f>
        <v>5810400</v>
      </c>
      <c r="L816" s="27"/>
      <c r="M816" s="1223"/>
      <c r="N816" s="61"/>
      <c r="O816" s="61"/>
    </row>
    <row r="817" spans="1:15" s="642" customFormat="1" x14ac:dyDescent="0.2">
      <c r="A817" s="99"/>
      <c r="B817" s="111"/>
      <c r="C817" s="119"/>
      <c r="D817" s="99"/>
      <c r="E817" s="176"/>
      <c r="F817" s="1"/>
      <c r="G817" s="1"/>
      <c r="H817" s="997"/>
      <c r="I817" s="998"/>
      <c r="J817" s="998"/>
      <c r="K817" s="999"/>
      <c r="L817" s="27"/>
      <c r="M817" s="1223"/>
      <c r="N817" s="61"/>
      <c r="O817" s="61"/>
    </row>
    <row r="818" spans="1:15" s="642" customFormat="1" x14ac:dyDescent="0.2">
      <c r="A818" s="99"/>
      <c r="B818" s="111"/>
      <c r="C818" s="119"/>
      <c r="D818" s="99"/>
      <c r="E818" s="176"/>
      <c r="F818" s="1"/>
      <c r="G818" s="1"/>
      <c r="H818" s="136" t="s">
        <v>294</v>
      </c>
      <c r="I818" s="1000"/>
      <c r="J818" s="1001"/>
      <c r="K818" s="488"/>
      <c r="L818" s="27"/>
      <c r="M818" s="1223"/>
      <c r="N818" s="61"/>
      <c r="O818" s="61"/>
    </row>
    <row r="819" spans="1:15" s="642" customFormat="1" x14ac:dyDescent="0.2">
      <c r="A819" s="99"/>
      <c r="B819" s="111"/>
      <c r="C819" s="119"/>
      <c r="D819" s="99"/>
      <c r="E819" s="483" t="s">
        <v>293</v>
      </c>
      <c r="F819" s="1"/>
      <c r="G819" s="1"/>
      <c r="H819" s="137" t="s">
        <v>549</v>
      </c>
      <c r="I819" s="490"/>
      <c r="J819" s="491"/>
      <c r="K819" s="492"/>
      <c r="L819" s="27"/>
      <c r="M819" s="1223"/>
      <c r="N819" s="61"/>
      <c r="O819" s="61"/>
    </row>
    <row r="820" spans="1:15" s="642" customFormat="1" x14ac:dyDescent="0.2">
      <c r="A820" s="788"/>
      <c r="B820" s="789"/>
      <c r="C820" s="790"/>
      <c r="D820" s="788"/>
      <c r="E820" s="493"/>
      <c r="F820" s="134"/>
      <c r="G820" s="134"/>
      <c r="H820" s="144"/>
      <c r="I820" s="496"/>
      <c r="J820" s="497"/>
      <c r="K820" s="498"/>
      <c r="L820" s="887"/>
      <c r="M820" s="1223"/>
      <c r="N820" s="61"/>
      <c r="O820" s="61"/>
    </row>
    <row r="821" spans="1:15" s="642" customFormat="1" x14ac:dyDescent="0.2">
      <c r="A821" s="99"/>
      <c r="B821" s="111"/>
      <c r="C821" s="119"/>
      <c r="D821" s="99"/>
      <c r="E821" s="483"/>
      <c r="F821" s="124">
        <v>136</v>
      </c>
      <c r="G821" s="95">
        <v>421</v>
      </c>
      <c r="H821" s="89" t="s">
        <v>7</v>
      </c>
      <c r="I821" s="1280">
        <v>496000</v>
      </c>
      <c r="J821" s="501"/>
      <c r="K821" s="133">
        <f t="shared" ref="K821:K827" si="59">SUM(I821+J821)</f>
        <v>496000</v>
      </c>
      <c r="L821" s="27"/>
      <c r="M821" s="1223"/>
      <c r="N821" s="61"/>
      <c r="O821" s="61"/>
    </row>
    <row r="822" spans="1:15" s="642" customFormat="1" x14ac:dyDescent="0.2">
      <c r="A822" s="99"/>
      <c r="B822" s="111"/>
      <c r="C822" s="119"/>
      <c r="D822" s="99"/>
      <c r="E822" s="176"/>
      <c r="F822" s="124">
        <v>137</v>
      </c>
      <c r="G822" s="95">
        <v>423</v>
      </c>
      <c r="H822" s="90" t="s">
        <v>9</v>
      </c>
      <c r="I822" s="1280">
        <v>1771000</v>
      </c>
      <c r="J822" s="1279">
        <v>20000</v>
      </c>
      <c r="K822" s="133">
        <f t="shared" si="59"/>
        <v>1791000</v>
      </c>
      <c r="L822" s="27"/>
      <c r="M822" s="1223"/>
      <c r="N822" s="61"/>
      <c r="O822" s="61"/>
    </row>
    <row r="823" spans="1:15" s="642" customFormat="1" x14ac:dyDescent="0.2">
      <c r="A823" s="99"/>
      <c r="B823" s="111"/>
      <c r="C823" s="119"/>
      <c r="D823" s="99"/>
      <c r="E823" s="176"/>
      <c r="F823" s="124">
        <v>138</v>
      </c>
      <c r="G823" s="95">
        <v>424</v>
      </c>
      <c r="H823" s="90" t="s">
        <v>10</v>
      </c>
      <c r="I823" s="1280">
        <v>961000</v>
      </c>
      <c r="J823" s="501"/>
      <c r="K823" s="133">
        <f t="shared" si="59"/>
        <v>961000</v>
      </c>
      <c r="L823" s="27"/>
      <c r="M823" s="1223"/>
      <c r="N823" s="61"/>
      <c r="O823" s="61"/>
    </row>
    <row r="824" spans="1:15" s="893" customFormat="1" x14ac:dyDescent="0.2">
      <c r="A824" s="99"/>
      <c r="B824" s="111"/>
      <c r="C824" s="119"/>
      <c r="D824" s="99"/>
      <c r="E824" s="176"/>
      <c r="F824" s="124">
        <v>139</v>
      </c>
      <c r="G824" s="95">
        <v>425</v>
      </c>
      <c r="H824" s="90" t="s">
        <v>11</v>
      </c>
      <c r="I824" s="1280">
        <v>1000</v>
      </c>
      <c r="J824" s="501"/>
      <c r="K824" s="133">
        <f t="shared" si="59"/>
        <v>1000</v>
      </c>
      <c r="L824" s="27"/>
      <c r="M824" s="1224"/>
      <c r="N824" s="892"/>
      <c r="O824" s="892"/>
    </row>
    <row r="825" spans="1:15" s="642" customFormat="1" x14ac:dyDescent="0.2">
      <c r="A825" s="99"/>
      <c r="B825" s="111"/>
      <c r="C825" s="119"/>
      <c r="D825" s="99"/>
      <c r="E825" s="176"/>
      <c r="F825" s="124">
        <v>140</v>
      </c>
      <c r="G825" s="95">
        <v>426</v>
      </c>
      <c r="H825" s="90" t="s">
        <v>36</v>
      </c>
      <c r="I825" s="1280">
        <v>260000</v>
      </c>
      <c r="J825" s="1279">
        <v>102000</v>
      </c>
      <c r="K825" s="133">
        <f t="shared" si="59"/>
        <v>362000</v>
      </c>
      <c r="L825" s="27"/>
      <c r="M825" s="1223"/>
      <c r="N825" s="61"/>
      <c r="O825" s="61"/>
    </row>
    <row r="826" spans="1:15" s="642" customFormat="1" x14ac:dyDescent="0.2">
      <c r="A826" s="99"/>
      <c r="B826" s="111"/>
      <c r="C826" s="119"/>
      <c r="D826" s="99"/>
      <c r="E826" s="176"/>
      <c r="F826" s="124">
        <v>141</v>
      </c>
      <c r="G826" s="95">
        <v>512</v>
      </c>
      <c r="H826" s="90" t="s">
        <v>60</v>
      </c>
      <c r="I826" s="1280">
        <v>1000</v>
      </c>
      <c r="J826" s="501"/>
      <c r="K826" s="133">
        <f t="shared" si="59"/>
        <v>1000</v>
      </c>
      <c r="L826" s="27"/>
      <c r="M826" s="1223"/>
      <c r="N826" s="61"/>
      <c r="O826" s="61"/>
    </row>
    <row r="827" spans="1:15" s="642" customFormat="1" x14ac:dyDescent="0.2">
      <c r="A827" s="99"/>
      <c r="B827" s="111"/>
      <c r="C827" s="119"/>
      <c r="D827" s="99"/>
      <c r="E827" s="176"/>
      <c r="F827" s="124">
        <v>142</v>
      </c>
      <c r="G827" s="95">
        <v>523</v>
      </c>
      <c r="H827" s="90" t="s">
        <v>24</v>
      </c>
      <c r="I827" s="150"/>
      <c r="J827" s="1279">
        <v>50000</v>
      </c>
      <c r="K827" s="133">
        <f t="shared" si="59"/>
        <v>50000</v>
      </c>
      <c r="L827" s="27"/>
      <c r="M827" s="1223"/>
      <c r="N827" s="61"/>
      <c r="O827" s="61"/>
    </row>
    <row r="828" spans="1:15" s="642" customFormat="1" x14ac:dyDescent="0.2">
      <c r="A828" s="99"/>
      <c r="B828" s="111"/>
      <c r="C828" s="119"/>
      <c r="D828" s="99"/>
      <c r="E828" s="176"/>
      <c r="F828" s="1"/>
      <c r="G828" s="1"/>
      <c r="H828" s="97" t="s">
        <v>372</v>
      </c>
      <c r="I828" s="505">
        <f>SUM(I821:I827)</f>
        <v>3490000</v>
      </c>
      <c r="J828" s="505">
        <f>SUM(J821:J827)</f>
        <v>172000</v>
      </c>
      <c r="K828" s="505">
        <f>SUM(K821:K827)</f>
        <v>3662000</v>
      </c>
      <c r="L828" s="27"/>
      <c r="M828" s="1223"/>
      <c r="N828" s="61"/>
      <c r="O828" s="61"/>
    </row>
    <row r="829" spans="1:15" s="642" customFormat="1" x14ac:dyDescent="0.2">
      <c r="A829" s="99"/>
      <c r="B829" s="111"/>
      <c r="C829" s="119"/>
      <c r="D829" s="99"/>
      <c r="E829" s="176"/>
      <c r="F829" s="1"/>
      <c r="G829" s="1"/>
      <c r="H829" s="997"/>
      <c r="I829" s="998"/>
      <c r="J829" s="998"/>
      <c r="K829" s="999"/>
      <c r="L829" s="27"/>
      <c r="M829" s="1223"/>
      <c r="N829" s="61"/>
      <c r="O829" s="61"/>
    </row>
    <row r="830" spans="1:15" s="642" customFormat="1" ht="15" x14ac:dyDescent="0.2">
      <c r="A830" s="99"/>
      <c r="B830" s="111"/>
      <c r="C830" s="978"/>
      <c r="D830" s="99"/>
      <c r="E830" s="176"/>
      <c r="F830" s="1"/>
      <c r="G830" s="38" t="s">
        <v>39</v>
      </c>
      <c r="H830" s="90" t="s">
        <v>40</v>
      </c>
      <c r="I830" s="133">
        <f>SUM(I834-I833-I832)</f>
        <v>2872000</v>
      </c>
      <c r="J830" s="133"/>
      <c r="K830" s="133">
        <f>SUM(I830+J830)</f>
        <v>2872000</v>
      </c>
      <c r="L830" s="27"/>
      <c r="M830" s="1223"/>
      <c r="N830" s="61"/>
      <c r="O830" s="61"/>
    </row>
    <row r="831" spans="1:15" s="642" customFormat="1" ht="15" x14ac:dyDescent="0.2">
      <c r="A831" s="99"/>
      <c r="B831" s="111"/>
      <c r="C831" s="978"/>
      <c r="D831" s="99"/>
      <c r="E831" s="176"/>
      <c r="F831" s="1"/>
      <c r="G831" s="38" t="s">
        <v>66</v>
      </c>
      <c r="H831" s="90" t="s">
        <v>67</v>
      </c>
      <c r="I831" s="133"/>
      <c r="J831" s="133">
        <f>SUM(J828)</f>
        <v>172000</v>
      </c>
      <c r="K831" s="133">
        <f>SUM(I831+J831)</f>
        <v>172000</v>
      </c>
      <c r="L831" s="27"/>
      <c r="M831" s="1223"/>
      <c r="N831" s="61"/>
      <c r="O831" s="61"/>
    </row>
    <row r="832" spans="1:15" s="642" customFormat="1" ht="15" x14ac:dyDescent="0.2">
      <c r="A832" s="99"/>
      <c r="B832" s="111"/>
      <c r="C832" s="978"/>
      <c r="D832" s="99"/>
      <c r="E832" s="176"/>
      <c r="F832" s="1"/>
      <c r="G832" s="38" t="s">
        <v>157</v>
      </c>
      <c r="H832" s="90" t="s">
        <v>354</v>
      </c>
      <c r="I832" s="133">
        <v>378000</v>
      </c>
      <c r="J832" s="133"/>
      <c r="K832" s="133">
        <f t="shared" ref="K832:K833" si="60">SUM(I832+J832)</f>
        <v>378000</v>
      </c>
      <c r="L832" s="27"/>
      <c r="M832" s="1223"/>
      <c r="N832" s="61"/>
      <c r="O832" s="61"/>
    </row>
    <row r="833" spans="1:15" s="642" customFormat="1" ht="15" x14ac:dyDescent="0.2">
      <c r="A833" s="99"/>
      <c r="B833" s="111"/>
      <c r="C833" s="978"/>
      <c r="D833" s="99"/>
      <c r="E833" s="176"/>
      <c r="F833" s="1"/>
      <c r="G833" s="38" t="s">
        <v>1141</v>
      </c>
      <c r="H833" s="90" t="s">
        <v>1142</v>
      </c>
      <c r="I833" s="133">
        <v>240000</v>
      </c>
      <c r="J833" s="133"/>
      <c r="K833" s="133">
        <f t="shared" si="60"/>
        <v>240000</v>
      </c>
      <c r="L833" s="27"/>
      <c r="M833" s="1223"/>
      <c r="N833" s="61"/>
      <c r="O833" s="61"/>
    </row>
    <row r="834" spans="1:15" s="642" customFormat="1" ht="15" x14ac:dyDescent="0.2">
      <c r="A834" s="101"/>
      <c r="B834" s="781"/>
      <c r="C834" s="972"/>
      <c r="D834" s="101"/>
      <c r="E834" s="177"/>
      <c r="F834" s="42"/>
      <c r="G834" s="43"/>
      <c r="H834" s="97" t="s">
        <v>372</v>
      </c>
      <c r="I834" s="170">
        <f>SUM(I828)</f>
        <v>3490000</v>
      </c>
      <c r="J834" s="170">
        <f>SUM(J830:J831)</f>
        <v>172000</v>
      </c>
      <c r="K834" s="170">
        <f>SUM(K830:K833)</f>
        <v>3662000</v>
      </c>
      <c r="L834" s="27"/>
      <c r="M834" s="1223"/>
      <c r="N834" s="61"/>
      <c r="O834" s="61"/>
    </row>
    <row r="835" spans="1:15" s="642" customFormat="1" x14ac:dyDescent="0.2">
      <c r="A835" s="99"/>
      <c r="B835" s="111"/>
      <c r="C835" s="119"/>
      <c r="D835" s="99"/>
      <c r="E835" s="176"/>
      <c r="F835" s="1"/>
      <c r="G835" s="1"/>
      <c r="H835" s="480"/>
      <c r="I835" s="1002"/>
      <c r="J835" s="1003"/>
      <c r="K835" s="808"/>
      <c r="L835" s="27"/>
      <c r="M835" s="1223"/>
      <c r="N835" s="61"/>
      <c r="O835" s="61"/>
    </row>
    <row r="836" spans="1:15" s="642" customFormat="1" x14ac:dyDescent="0.2">
      <c r="A836" s="99"/>
      <c r="B836" s="111"/>
      <c r="C836" s="119"/>
      <c r="D836" s="99"/>
      <c r="E836" s="483">
        <v>1502</v>
      </c>
      <c r="F836" s="1"/>
      <c r="G836" s="1"/>
      <c r="H836" s="1004" t="s">
        <v>524</v>
      </c>
      <c r="I836" s="289"/>
      <c r="J836" s="1005"/>
      <c r="K836" s="157"/>
      <c r="L836" s="27"/>
      <c r="M836" s="1223"/>
      <c r="N836" s="61"/>
      <c r="O836" s="61"/>
    </row>
    <row r="837" spans="1:15" s="642" customFormat="1" x14ac:dyDescent="0.2">
      <c r="A837" s="99"/>
      <c r="B837" s="111"/>
      <c r="C837" s="119"/>
      <c r="D837" s="99"/>
      <c r="E837" s="176"/>
      <c r="F837" s="124">
        <v>143</v>
      </c>
      <c r="G837" s="95">
        <v>424</v>
      </c>
      <c r="H837" s="90" t="s">
        <v>10</v>
      </c>
      <c r="I837" s="1280">
        <v>1000</v>
      </c>
      <c r="J837" s="501"/>
      <c r="K837" s="133">
        <f>SUM(I837+J837)</f>
        <v>1000</v>
      </c>
      <c r="L837" s="27"/>
      <c r="M837" s="1223"/>
      <c r="N837" s="61"/>
      <c r="O837" s="61"/>
    </row>
    <row r="838" spans="1:15" s="642" customFormat="1" x14ac:dyDescent="0.2">
      <c r="A838" s="99"/>
      <c r="B838" s="111"/>
      <c r="C838" s="119"/>
      <c r="D838" s="99"/>
      <c r="E838" s="176"/>
      <c r="F838" s="124">
        <v>144</v>
      </c>
      <c r="G838" s="95">
        <v>511</v>
      </c>
      <c r="H838" s="174" t="s">
        <v>20</v>
      </c>
      <c r="I838" s="1280">
        <v>1000</v>
      </c>
      <c r="J838" s="501"/>
      <c r="K838" s="133">
        <f>SUM(I838+J838)</f>
        <v>1000</v>
      </c>
      <c r="L838" s="27"/>
      <c r="M838" s="1223"/>
      <c r="N838" s="61"/>
      <c r="O838" s="61"/>
    </row>
    <row r="839" spans="1:15" s="642" customFormat="1" x14ac:dyDescent="0.2">
      <c r="A839" s="99"/>
      <c r="B839" s="111"/>
      <c r="C839" s="119"/>
      <c r="D839" s="99"/>
      <c r="E839" s="176"/>
      <c r="F839" s="120">
        <v>145</v>
      </c>
      <c r="G839" s="100">
        <v>513</v>
      </c>
      <c r="H839" s="90" t="s">
        <v>22</v>
      </c>
      <c r="I839" s="1280">
        <v>1000</v>
      </c>
      <c r="J839" s="501"/>
      <c r="K839" s="133">
        <f>SUM(I839+J839)</f>
        <v>1000</v>
      </c>
      <c r="L839" s="27"/>
      <c r="M839" s="1223"/>
      <c r="N839" s="61"/>
      <c r="O839" s="61"/>
    </row>
    <row r="840" spans="1:15" s="642" customFormat="1" x14ac:dyDescent="0.2">
      <c r="A840" s="99"/>
      <c r="B840" s="111"/>
      <c r="C840" s="119"/>
      <c r="D840" s="99"/>
      <c r="E840" s="965"/>
      <c r="F840" s="473"/>
      <c r="G840" s="38" t="s">
        <v>39</v>
      </c>
      <c r="H840" s="90" t="s">
        <v>40</v>
      </c>
      <c r="I840" s="133">
        <f>SUM(I841)</f>
        <v>3000</v>
      </c>
      <c r="J840" s="133"/>
      <c r="K840" s="133">
        <f>SUM(I840+J840)</f>
        <v>3000</v>
      </c>
      <c r="L840" s="27"/>
      <c r="M840" s="1223"/>
      <c r="N840" s="61"/>
      <c r="O840" s="61"/>
    </row>
    <row r="841" spans="1:15" s="642" customFormat="1" x14ac:dyDescent="0.2">
      <c r="A841" s="101"/>
      <c r="B841" s="781"/>
      <c r="C841" s="121"/>
      <c r="D841" s="101"/>
      <c r="E841" s="968"/>
      <c r="F841" s="475"/>
      <c r="G841" s="121"/>
      <c r="H841" s="261" t="s">
        <v>525</v>
      </c>
      <c r="I841" s="505">
        <f>SUM(I837:I839)</f>
        <v>3000</v>
      </c>
      <c r="J841" s="505"/>
      <c r="K841" s="505">
        <f>SUM(K837:K839)</f>
        <v>3000</v>
      </c>
      <c r="L841" s="27"/>
      <c r="M841" s="1223"/>
      <c r="N841" s="61"/>
      <c r="O841" s="61"/>
    </row>
    <row r="842" spans="1:15" s="642" customFormat="1" x14ac:dyDescent="0.2">
      <c r="A842" s="99"/>
      <c r="B842" s="111"/>
      <c r="C842" s="119"/>
      <c r="D842" s="99"/>
      <c r="E842" s="176"/>
      <c r="F842" s="1"/>
      <c r="G842" s="1"/>
      <c r="H842" s="984"/>
      <c r="I842" s="998"/>
      <c r="J842" s="1003"/>
      <c r="K842" s="808"/>
      <c r="L842" s="27"/>
      <c r="M842" s="1223"/>
      <c r="N842" s="61"/>
      <c r="O842" s="61"/>
    </row>
    <row r="843" spans="1:15" s="642" customFormat="1" x14ac:dyDescent="0.2">
      <c r="A843" s="94"/>
      <c r="B843" s="112"/>
      <c r="C843" s="111"/>
      <c r="D843" s="98"/>
      <c r="E843" s="128"/>
      <c r="F843" s="1"/>
      <c r="G843" s="38" t="s">
        <v>39</v>
      </c>
      <c r="H843" s="90" t="s">
        <v>40</v>
      </c>
      <c r="I843" s="133">
        <f>SUM(I841+I830+I814)</f>
        <v>8681400</v>
      </c>
      <c r="J843" s="133"/>
      <c r="K843" s="133">
        <f>SUM(I843+J843)</f>
        <v>8681400</v>
      </c>
      <c r="L843" s="27"/>
      <c r="M843" s="1223"/>
      <c r="N843" s="61"/>
      <c r="O843" s="61"/>
    </row>
    <row r="844" spans="1:15" s="642" customFormat="1" x14ac:dyDescent="0.2">
      <c r="A844" s="94"/>
      <c r="B844" s="112"/>
      <c r="C844" s="111"/>
      <c r="D844" s="98"/>
      <c r="E844" s="128"/>
      <c r="F844" s="1"/>
      <c r="G844" s="38" t="s">
        <v>66</v>
      </c>
      <c r="H844" s="90" t="s">
        <v>67</v>
      </c>
      <c r="I844" s="133"/>
      <c r="J844" s="133">
        <f>SUM(J815+J831)</f>
        <v>176000</v>
      </c>
      <c r="K844" s="133">
        <f t="shared" ref="K844:K846" si="61">SUM(I844+J844)</f>
        <v>176000</v>
      </c>
      <c r="L844" s="27"/>
      <c r="M844" s="1223"/>
      <c r="N844" s="61"/>
      <c r="O844" s="61"/>
    </row>
    <row r="845" spans="1:15" s="642" customFormat="1" x14ac:dyDescent="0.2">
      <c r="A845" s="94"/>
      <c r="B845" s="112"/>
      <c r="C845" s="111"/>
      <c r="D845" s="98"/>
      <c r="E845" s="128"/>
      <c r="F845" s="1"/>
      <c r="G845" s="38" t="s">
        <v>157</v>
      </c>
      <c r="H845" s="90" t="s">
        <v>354</v>
      </c>
      <c r="I845" s="133">
        <f>SUM(I832)</f>
        <v>378000</v>
      </c>
      <c r="J845" s="133"/>
      <c r="K845" s="133">
        <f t="shared" si="61"/>
        <v>378000</v>
      </c>
      <c r="L845" s="27"/>
      <c r="M845" s="1223"/>
      <c r="N845" s="61"/>
      <c r="O845" s="61"/>
    </row>
    <row r="846" spans="1:15" s="642" customFormat="1" x14ac:dyDescent="0.2">
      <c r="A846" s="94"/>
      <c r="B846" s="112"/>
      <c r="C846" s="111"/>
      <c r="D846" s="98"/>
      <c r="E846" s="128"/>
      <c r="F846" s="1"/>
      <c r="G846" s="38" t="s">
        <v>1141</v>
      </c>
      <c r="H846" s="90" t="s">
        <v>1142</v>
      </c>
      <c r="I846" s="133">
        <f>SUM(I833)</f>
        <v>240000</v>
      </c>
      <c r="J846" s="133"/>
      <c r="K846" s="133">
        <f t="shared" si="61"/>
        <v>240000</v>
      </c>
      <c r="L846" s="27"/>
      <c r="M846" s="1223"/>
      <c r="N846" s="61"/>
      <c r="O846" s="61"/>
    </row>
    <row r="847" spans="1:15" s="642" customFormat="1" x14ac:dyDescent="0.2">
      <c r="A847" s="583"/>
      <c r="B847" s="926"/>
      <c r="C847" s="781"/>
      <c r="D847" s="780"/>
      <c r="E847" s="249"/>
      <c r="F847" s="42"/>
      <c r="G847" s="43"/>
      <c r="H847" s="97" t="s">
        <v>70</v>
      </c>
      <c r="I847" s="170">
        <f>SUM(I843:I846)</f>
        <v>9299400</v>
      </c>
      <c r="J847" s="170">
        <f>SUM(J843:J844)</f>
        <v>176000</v>
      </c>
      <c r="K847" s="170">
        <f>SUM(K843:K846)</f>
        <v>9475400</v>
      </c>
      <c r="L847" s="27"/>
      <c r="M847" s="1223"/>
      <c r="N847" s="61"/>
      <c r="O847" s="61"/>
    </row>
    <row r="848" spans="1:15" s="642" customFormat="1" x14ac:dyDescent="0.2">
      <c r="A848" s="88"/>
      <c r="B848" s="1006"/>
      <c r="C848" s="922"/>
      <c r="D848" s="1007"/>
      <c r="E848" s="1008"/>
      <c r="F848" s="57"/>
      <c r="G848" s="58"/>
      <c r="H848" s="1009"/>
      <c r="I848" s="989"/>
      <c r="J848" s="989"/>
      <c r="K848" s="990"/>
      <c r="L848" s="27"/>
      <c r="M848" s="1223"/>
      <c r="N848" s="61"/>
      <c r="O848" s="61"/>
    </row>
    <row r="849" spans="1:15" s="642" customFormat="1" x14ac:dyDescent="0.2">
      <c r="A849" s="1010"/>
      <c r="B849" s="1011"/>
      <c r="C849" s="1012"/>
      <c r="D849" s="1013">
        <v>2001</v>
      </c>
      <c r="E849" s="1014"/>
      <c r="F849" s="1015"/>
      <c r="G849" s="1016"/>
      <c r="H849" s="220" t="s">
        <v>814</v>
      </c>
      <c r="I849" s="817">
        <f>SUM(I885+I897+I892+I912+I920+I925+I903)</f>
        <v>407264000</v>
      </c>
      <c r="J849" s="817">
        <f>SUM(J885+J897+J892)</f>
        <v>13000000</v>
      </c>
      <c r="K849" s="818">
        <f>SUM(I849:J849)</f>
        <v>420264000</v>
      </c>
      <c r="L849" s="887"/>
      <c r="M849" s="1223"/>
      <c r="N849" s="61"/>
      <c r="O849" s="61"/>
    </row>
    <row r="850" spans="1:15" s="642" customFormat="1" x14ac:dyDescent="0.2">
      <c r="A850" s="788"/>
      <c r="B850" s="789"/>
      <c r="C850" s="790"/>
      <c r="D850" s="821"/>
      <c r="E850" s="767"/>
      <c r="F850" s="134"/>
      <c r="G850" s="135"/>
      <c r="H850" s="144"/>
      <c r="I850" s="822"/>
      <c r="J850" s="822"/>
      <c r="K850" s="994"/>
      <c r="L850" s="887"/>
      <c r="M850" s="1223"/>
      <c r="N850" s="61"/>
      <c r="O850" s="61"/>
    </row>
    <row r="851" spans="1:15" s="642" customFormat="1" x14ac:dyDescent="0.2">
      <c r="A851" s="99"/>
      <c r="B851" s="111"/>
      <c r="C851" s="119"/>
      <c r="D851" s="99"/>
      <c r="E851" s="176"/>
      <c r="F851" s="1"/>
      <c r="G851" s="38"/>
      <c r="H851" s="136" t="s">
        <v>334</v>
      </c>
      <c r="I851" s="829"/>
      <c r="J851" s="829"/>
      <c r="K851" s="830" t="s">
        <v>273</v>
      </c>
      <c r="L851" s="27"/>
      <c r="M851" s="1223"/>
      <c r="N851" s="61"/>
      <c r="O851" s="61"/>
    </row>
    <row r="852" spans="1:15" s="642" customFormat="1" x14ac:dyDescent="0.2">
      <c r="A852" s="94"/>
      <c r="B852" s="112"/>
      <c r="C852" s="111"/>
      <c r="D852" s="98"/>
      <c r="E852" s="128" t="s">
        <v>286</v>
      </c>
      <c r="F852" s="1"/>
      <c r="G852" s="40"/>
      <c r="H852" s="137" t="s">
        <v>285</v>
      </c>
      <c r="I852" s="833"/>
      <c r="J852" s="833"/>
      <c r="K852" s="492"/>
      <c r="L852" s="27"/>
      <c r="M852" s="1223"/>
      <c r="N852" s="61"/>
      <c r="O852" s="61"/>
    </row>
    <row r="853" spans="1:15" s="893" customFormat="1" x14ac:dyDescent="0.2">
      <c r="A853" s="94"/>
      <c r="B853" s="111"/>
      <c r="C853" s="111"/>
      <c r="D853" s="98"/>
      <c r="E853" s="128"/>
      <c r="F853" s="1"/>
      <c r="G853" s="40"/>
      <c r="H853" s="1017"/>
      <c r="I853" s="807"/>
      <c r="J853" s="807"/>
      <c r="K853" s="808"/>
      <c r="L853" s="27"/>
      <c r="M853" s="1224"/>
      <c r="N853" s="892"/>
      <c r="O853" s="892"/>
    </row>
    <row r="854" spans="1:15" s="893" customFormat="1" x14ac:dyDescent="0.2">
      <c r="A854" s="94"/>
      <c r="B854" s="111"/>
      <c r="C854" s="111">
        <v>911</v>
      </c>
      <c r="D854" s="98"/>
      <c r="E854" s="128"/>
      <c r="F854" s="1"/>
      <c r="G854" s="40"/>
      <c r="H854" s="169" t="s">
        <v>71</v>
      </c>
      <c r="I854" s="920"/>
      <c r="J854" s="920"/>
      <c r="K854" s="921"/>
      <c r="L854" s="27"/>
      <c r="M854" s="1224"/>
      <c r="N854" s="892"/>
      <c r="O854" s="892"/>
    </row>
    <row r="855" spans="1:15" s="642" customFormat="1" x14ac:dyDescent="0.2">
      <c r="A855" s="94"/>
      <c r="B855" s="948" t="s">
        <v>72</v>
      </c>
      <c r="C855" s="111"/>
      <c r="D855" s="98"/>
      <c r="E855" s="128"/>
      <c r="F855" s="1"/>
      <c r="G855" s="39"/>
      <c r="H855" s="1018" t="s">
        <v>73</v>
      </c>
      <c r="I855" s="1019"/>
      <c r="J855" s="1019"/>
      <c r="K855" s="1020"/>
      <c r="L855" s="27"/>
      <c r="M855" s="1223"/>
      <c r="N855" s="61"/>
      <c r="O855" s="61"/>
    </row>
    <row r="856" spans="1:15" s="642" customFormat="1" x14ac:dyDescent="0.2">
      <c r="A856" s="94"/>
      <c r="B856" s="112"/>
      <c r="C856" s="111"/>
      <c r="D856" s="98"/>
      <c r="E856" s="128"/>
      <c r="F856" s="1"/>
      <c r="G856" s="39"/>
      <c r="H856" s="56"/>
      <c r="I856" s="807"/>
      <c r="J856" s="807"/>
      <c r="K856" s="808"/>
      <c r="L856" s="27"/>
      <c r="M856" s="1223"/>
      <c r="N856" s="61"/>
      <c r="O856" s="61"/>
    </row>
    <row r="857" spans="1:15" s="642" customFormat="1" x14ac:dyDescent="0.2">
      <c r="A857" s="94"/>
      <c r="B857" s="112"/>
      <c r="C857" s="111"/>
      <c r="D857" s="98"/>
      <c r="E857" s="128"/>
      <c r="F857" s="124">
        <v>146</v>
      </c>
      <c r="G857" s="95">
        <v>411</v>
      </c>
      <c r="H857" s="90" t="s">
        <v>2</v>
      </c>
      <c r="I857" s="501">
        <v>109584394</v>
      </c>
      <c r="J857" s="501"/>
      <c r="K857" s="133">
        <f t="shared" ref="K857:K878" si="62">SUM(I857+J857)</f>
        <v>109584394</v>
      </c>
      <c r="L857" s="26"/>
      <c r="M857" s="1223"/>
      <c r="N857" s="61"/>
      <c r="O857" s="61"/>
    </row>
    <row r="858" spans="1:15" s="642" customFormat="1" x14ac:dyDescent="0.2">
      <c r="A858" s="94"/>
      <c r="B858" s="112"/>
      <c r="C858" s="111"/>
      <c r="D858" s="98"/>
      <c r="E858" s="128"/>
      <c r="F858" s="124">
        <v>147</v>
      </c>
      <c r="G858" s="95">
        <v>412</v>
      </c>
      <c r="H858" s="89" t="s">
        <v>3</v>
      </c>
      <c r="I858" s="501">
        <v>19615606</v>
      </c>
      <c r="J858" s="501"/>
      <c r="K858" s="133">
        <f t="shared" si="62"/>
        <v>19615606</v>
      </c>
      <c r="L858" s="26"/>
      <c r="M858" s="1223"/>
      <c r="N858" s="61"/>
      <c r="O858" s="61"/>
    </row>
    <row r="859" spans="1:15" s="642" customFormat="1" x14ac:dyDescent="0.2">
      <c r="A859" s="94"/>
      <c r="B859" s="112"/>
      <c r="C859" s="111"/>
      <c r="D859" s="98"/>
      <c r="E859" s="128"/>
      <c r="F859" s="124">
        <v>148</v>
      </c>
      <c r="G859" s="95">
        <v>413</v>
      </c>
      <c r="H859" s="90" t="s">
        <v>34</v>
      </c>
      <c r="I859" s="150">
        <v>2840000</v>
      </c>
      <c r="J859" s="501"/>
      <c r="K859" s="133">
        <f t="shared" si="62"/>
        <v>2840000</v>
      </c>
      <c r="L859" s="26"/>
      <c r="M859" s="1223"/>
      <c r="N859" s="61"/>
      <c r="O859" s="61"/>
    </row>
    <row r="860" spans="1:15" s="642" customFormat="1" x14ac:dyDescent="0.2">
      <c r="A860" s="94"/>
      <c r="B860" s="112"/>
      <c r="C860" s="111"/>
      <c r="D860" s="98"/>
      <c r="E860" s="128"/>
      <c r="F860" s="124">
        <v>149</v>
      </c>
      <c r="G860" s="95">
        <v>414</v>
      </c>
      <c r="H860" s="90" t="s">
        <v>35</v>
      </c>
      <c r="I860" s="150">
        <v>4530000</v>
      </c>
      <c r="J860" s="501">
        <v>11000000</v>
      </c>
      <c r="K860" s="133">
        <f t="shared" si="62"/>
        <v>15530000</v>
      </c>
      <c r="L860" s="26"/>
      <c r="M860" s="1223"/>
      <c r="N860" s="61"/>
      <c r="O860" s="61"/>
    </row>
    <row r="861" spans="1:15" s="642" customFormat="1" x14ac:dyDescent="0.2">
      <c r="A861" s="94"/>
      <c r="B861" s="112"/>
      <c r="C861" s="111"/>
      <c r="D861" s="98"/>
      <c r="E861" s="128"/>
      <c r="F861" s="124">
        <v>150</v>
      </c>
      <c r="G861" s="95">
        <v>415</v>
      </c>
      <c r="H861" s="89" t="s">
        <v>5</v>
      </c>
      <c r="I861" s="150">
        <v>7000000</v>
      </c>
      <c r="J861" s="501"/>
      <c r="K861" s="133">
        <f t="shared" si="62"/>
        <v>7000000</v>
      </c>
      <c r="L861" s="26"/>
      <c r="M861" s="1223"/>
      <c r="N861" s="61"/>
      <c r="O861" s="61"/>
    </row>
    <row r="862" spans="1:15" s="642" customFormat="1" x14ac:dyDescent="0.2">
      <c r="A862" s="94"/>
      <c r="B862" s="112"/>
      <c r="C862" s="111"/>
      <c r="D862" s="98"/>
      <c r="E862" s="128"/>
      <c r="F862" s="124">
        <v>151</v>
      </c>
      <c r="G862" s="95">
        <v>416</v>
      </c>
      <c r="H862" s="89" t="s">
        <v>6</v>
      </c>
      <c r="I862" s="150">
        <v>1600000</v>
      </c>
      <c r="J862" s="501"/>
      <c r="K862" s="133">
        <f t="shared" si="62"/>
        <v>1600000</v>
      </c>
      <c r="L862" s="26"/>
      <c r="M862" s="1223"/>
      <c r="N862" s="61"/>
      <c r="O862" s="61"/>
    </row>
    <row r="863" spans="1:15" s="642" customFormat="1" x14ac:dyDescent="0.2">
      <c r="A863" s="94"/>
      <c r="B863" s="112"/>
      <c r="C863" s="111"/>
      <c r="D863" s="98"/>
      <c r="E863" s="128"/>
      <c r="F863" s="124">
        <v>152</v>
      </c>
      <c r="G863" s="95">
        <v>421</v>
      </c>
      <c r="H863" s="89" t="s">
        <v>7</v>
      </c>
      <c r="I863" s="150">
        <v>25160000</v>
      </c>
      <c r="J863" s="501">
        <v>450000</v>
      </c>
      <c r="K863" s="133">
        <f t="shared" si="62"/>
        <v>25610000</v>
      </c>
      <c r="L863" s="26"/>
      <c r="M863" s="1223"/>
      <c r="N863" s="61"/>
      <c r="O863" s="61"/>
    </row>
    <row r="864" spans="1:15" s="642" customFormat="1" x14ac:dyDescent="0.2">
      <c r="A864" s="94"/>
      <c r="B864" s="112"/>
      <c r="C864" s="111"/>
      <c r="D864" s="98"/>
      <c r="E864" s="128"/>
      <c r="F864" s="124">
        <v>153</v>
      </c>
      <c r="G864" s="95">
        <v>422</v>
      </c>
      <c r="H864" s="90" t="s">
        <v>8</v>
      </c>
      <c r="I864" s="150">
        <v>750000</v>
      </c>
      <c r="J864" s="501"/>
      <c r="K864" s="133">
        <f t="shared" si="62"/>
        <v>750000</v>
      </c>
      <c r="L864" s="26"/>
      <c r="M864" s="1223"/>
      <c r="N864" s="61"/>
      <c r="O864" s="61"/>
    </row>
    <row r="865" spans="1:15" s="642" customFormat="1" x14ac:dyDescent="0.2">
      <c r="A865" s="94"/>
      <c r="B865" s="112"/>
      <c r="C865" s="111"/>
      <c r="D865" s="98"/>
      <c r="E865" s="128"/>
      <c r="F865" s="124">
        <v>154</v>
      </c>
      <c r="G865" s="95">
        <v>423</v>
      </c>
      <c r="H865" s="90" t="s">
        <v>9</v>
      </c>
      <c r="I865" s="150">
        <v>5900000</v>
      </c>
      <c r="J865" s="501"/>
      <c r="K865" s="133">
        <f t="shared" si="62"/>
        <v>5900000</v>
      </c>
      <c r="L865" s="26"/>
      <c r="M865" s="1223"/>
      <c r="N865" s="61"/>
      <c r="O865" s="61"/>
    </row>
    <row r="866" spans="1:15" s="642" customFormat="1" x14ac:dyDescent="0.2">
      <c r="A866" s="94"/>
      <c r="B866" s="112"/>
      <c r="C866" s="111"/>
      <c r="D866" s="98"/>
      <c r="E866" s="128"/>
      <c r="F866" s="124">
        <v>155</v>
      </c>
      <c r="G866" s="95">
        <v>424</v>
      </c>
      <c r="H866" s="90" t="s">
        <v>10</v>
      </c>
      <c r="I866" s="150">
        <v>3500000</v>
      </c>
      <c r="J866" s="501">
        <v>800000</v>
      </c>
      <c r="K866" s="133">
        <f t="shared" si="62"/>
        <v>4300000</v>
      </c>
      <c r="L866" s="26"/>
      <c r="M866" s="1223"/>
      <c r="N866" s="61"/>
      <c r="O866" s="61"/>
    </row>
    <row r="867" spans="1:15" s="642" customFormat="1" x14ac:dyDescent="0.2">
      <c r="A867" s="94"/>
      <c r="B867" s="112"/>
      <c r="C867" s="111"/>
      <c r="D867" s="98"/>
      <c r="E867" s="128"/>
      <c r="F867" s="124">
        <v>156</v>
      </c>
      <c r="G867" s="95">
        <v>425</v>
      </c>
      <c r="H867" s="90" t="s">
        <v>11</v>
      </c>
      <c r="I867" s="150">
        <v>12000000</v>
      </c>
      <c r="J867" s="501"/>
      <c r="K867" s="133">
        <f t="shared" si="62"/>
        <v>12000000</v>
      </c>
      <c r="L867" s="26"/>
      <c r="M867" s="1223"/>
      <c r="N867" s="61"/>
      <c r="O867" s="61"/>
    </row>
    <row r="868" spans="1:15" s="642" customFormat="1" x14ac:dyDescent="0.2">
      <c r="A868" s="94"/>
      <c r="B868" s="112"/>
      <c r="C868" s="111"/>
      <c r="D868" s="98"/>
      <c r="E868" s="128"/>
      <c r="F868" s="124">
        <v>157</v>
      </c>
      <c r="G868" s="95">
        <v>426</v>
      </c>
      <c r="H868" s="90" t="s">
        <v>36</v>
      </c>
      <c r="I868" s="150">
        <v>33228000</v>
      </c>
      <c r="J868" s="501">
        <v>750000</v>
      </c>
      <c r="K868" s="133">
        <f t="shared" si="62"/>
        <v>33978000</v>
      </c>
      <c r="L868" s="26"/>
      <c r="M868" s="1223"/>
      <c r="N868" s="61"/>
      <c r="O868" s="61"/>
    </row>
    <row r="869" spans="1:15" s="642" customFormat="1" x14ac:dyDescent="0.2">
      <c r="A869" s="94"/>
      <c r="B869" s="112"/>
      <c r="C869" s="111"/>
      <c r="D869" s="98"/>
      <c r="E869" s="128"/>
      <c r="F869" s="124">
        <v>158</v>
      </c>
      <c r="G869" s="95">
        <v>431</v>
      </c>
      <c r="H869" s="90" t="s">
        <v>12</v>
      </c>
      <c r="I869" s="150">
        <v>200000</v>
      </c>
      <c r="J869" s="501"/>
      <c r="K869" s="133">
        <f t="shared" si="62"/>
        <v>200000</v>
      </c>
      <c r="L869" s="26"/>
      <c r="M869" s="1223"/>
      <c r="N869" s="61"/>
      <c r="O869" s="61"/>
    </row>
    <row r="870" spans="1:15" s="642" customFormat="1" x14ac:dyDescent="0.2">
      <c r="A870" s="94"/>
      <c r="B870" s="112"/>
      <c r="C870" s="111"/>
      <c r="D870" s="98"/>
      <c r="E870" s="128"/>
      <c r="F870" s="124">
        <v>159</v>
      </c>
      <c r="G870" s="95">
        <v>441</v>
      </c>
      <c r="H870" s="90" t="s">
        <v>13</v>
      </c>
      <c r="I870" s="150">
        <v>100000</v>
      </c>
      <c r="J870" s="501"/>
      <c r="K870" s="133">
        <f t="shared" si="62"/>
        <v>100000</v>
      </c>
      <c r="L870" s="26"/>
      <c r="M870" s="1223"/>
      <c r="N870" s="61"/>
      <c r="O870" s="61"/>
    </row>
    <row r="871" spans="1:15" s="642" customFormat="1" x14ac:dyDescent="0.2">
      <c r="A871" s="94"/>
      <c r="B871" s="112"/>
      <c r="C871" s="111"/>
      <c r="D871" s="98"/>
      <c r="E871" s="128"/>
      <c r="F871" s="124">
        <v>160</v>
      </c>
      <c r="G871" s="95">
        <v>444</v>
      </c>
      <c r="H871" s="90" t="s">
        <v>14</v>
      </c>
      <c r="I871" s="150">
        <v>200000</v>
      </c>
      <c r="J871" s="501"/>
      <c r="K871" s="133">
        <f t="shared" si="62"/>
        <v>200000</v>
      </c>
      <c r="L871" s="26"/>
      <c r="M871" s="1223"/>
      <c r="N871" s="61"/>
      <c r="O871" s="61"/>
    </row>
    <row r="872" spans="1:15" s="642" customFormat="1" x14ac:dyDescent="0.2">
      <c r="A872" s="94"/>
      <c r="B872" s="112"/>
      <c r="C872" s="111"/>
      <c r="D872" s="98"/>
      <c r="E872" s="128"/>
      <c r="F872" s="124">
        <v>161</v>
      </c>
      <c r="G872" s="95">
        <v>465</v>
      </c>
      <c r="H872" s="90" t="s">
        <v>277</v>
      </c>
      <c r="I872" s="150">
        <v>12920000</v>
      </c>
      <c r="J872" s="501"/>
      <c r="K872" s="133">
        <f t="shared" si="62"/>
        <v>12920000</v>
      </c>
      <c r="L872" s="26"/>
      <c r="M872" s="1223"/>
      <c r="N872" s="61"/>
      <c r="O872" s="61"/>
    </row>
    <row r="873" spans="1:15" s="642" customFormat="1" x14ac:dyDescent="0.2">
      <c r="A873" s="94"/>
      <c r="B873" s="112"/>
      <c r="C873" s="111"/>
      <c r="D873" s="98"/>
      <c r="E873" s="128"/>
      <c r="F873" s="124">
        <v>162</v>
      </c>
      <c r="G873" s="95">
        <v>482</v>
      </c>
      <c r="H873" s="90" t="s">
        <v>17</v>
      </c>
      <c r="I873" s="150">
        <v>600000</v>
      </c>
      <c r="J873" s="501"/>
      <c r="K873" s="133">
        <f t="shared" si="62"/>
        <v>600000</v>
      </c>
      <c r="L873" s="27"/>
      <c r="M873" s="1223"/>
      <c r="N873" s="61"/>
      <c r="O873" s="61"/>
    </row>
    <row r="874" spans="1:15" s="642" customFormat="1" x14ac:dyDescent="0.2">
      <c r="A874" s="94"/>
      <c r="B874" s="112"/>
      <c r="C874" s="111"/>
      <c r="D874" s="98"/>
      <c r="E874" s="128"/>
      <c r="F874" s="124">
        <v>163</v>
      </c>
      <c r="G874" s="95">
        <v>483</v>
      </c>
      <c r="H874" s="90" t="s">
        <v>18</v>
      </c>
      <c r="I874" s="150">
        <v>2200000</v>
      </c>
      <c r="J874" s="501"/>
      <c r="K874" s="133">
        <f t="shared" si="62"/>
        <v>2200000</v>
      </c>
      <c r="L874" s="27"/>
      <c r="M874" s="1223"/>
      <c r="N874" s="61"/>
      <c r="O874" s="61"/>
    </row>
    <row r="875" spans="1:15" s="642" customFormat="1" x14ac:dyDescent="0.2">
      <c r="A875" s="94"/>
      <c r="B875" s="112"/>
      <c r="C875" s="111"/>
      <c r="D875" s="98"/>
      <c r="E875" s="128"/>
      <c r="F875" s="124">
        <v>164</v>
      </c>
      <c r="G875" s="95">
        <v>511</v>
      </c>
      <c r="H875" s="90" t="s">
        <v>20</v>
      </c>
      <c r="I875" s="150">
        <v>1200000</v>
      </c>
      <c r="J875" s="501"/>
      <c r="K875" s="133">
        <f t="shared" si="62"/>
        <v>1200000</v>
      </c>
      <c r="L875" s="27"/>
      <c r="M875" s="1223"/>
      <c r="N875" s="61"/>
      <c r="O875" s="61"/>
    </row>
    <row r="876" spans="1:15" s="642" customFormat="1" x14ac:dyDescent="0.2">
      <c r="A876" s="94"/>
      <c r="B876" s="112"/>
      <c r="C876" s="111"/>
      <c r="D876" s="98"/>
      <c r="E876" s="128"/>
      <c r="F876" s="124">
        <v>165</v>
      </c>
      <c r="G876" s="95">
        <v>512</v>
      </c>
      <c r="H876" s="90" t="s">
        <v>21</v>
      </c>
      <c r="I876" s="150">
        <v>18100000</v>
      </c>
      <c r="J876" s="501"/>
      <c r="K876" s="133">
        <f t="shared" si="62"/>
        <v>18100000</v>
      </c>
      <c r="L876" s="27"/>
      <c r="M876" s="1223"/>
      <c r="N876" s="61"/>
      <c r="O876" s="61"/>
    </row>
    <row r="877" spans="1:15" s="642" customFormat="1" x14ac:dyDescent="0.2">
      <c r="A877" s="94"/>
      <c r="B877" s="112"/>
      <c r="C877" s="111"/>
      <c r="D877" s="98"/>
      <c r="E877" s="128"/>
      <c r="F877" s="124">
        <v>166</v>
      </c>
      <c r="G877" s="95">
        <v>513</v>
      </c>
      <c r="H877" s="90" t="s">
        <v>22</v>
      </c>
      <c r="I877" s="150">
        <v>3000000</v>
      </c>
      <c r="J877" s="501"/>
      <c r="K877" s="133">
        <f t="shared" si="62"/>
        <v>3000000</v>
      </c>
      <c r="L877" s="27"/>
      <c r="M877" s="1223"/>
      <c r="N877" s="61"/>
      <c r="O877" s="61"/>
    </row>
    <row r="878" spans="1:15" s="642" customFormat="1" x14ac:dyDescent="0.2">
      <c r="A878" s="94"/>
      <c r="B878" s="112"/>
      <c r="C878" s="111"/>
      <c r="D878" s="98"/>
      <c r="E878" s="128"/>
      <c r="F878" s="124">
        <v>167</v>
      </c>
      <c r="G878" s="95">
        <v>515</v>
      </c>
      <c r="H878" s="90" t="s">
        <v>23</v>
      </c>
      <c r="I878" s="150">
        <v>800000</v>
      </c>
      <c r="J878" s="501"/>
      <c r="K878" s="133">
        <f t="shared" si="62"/>
        <v>800000</v>
      </c>
      <c r="L878" s="27"/>
      <c r="M878" s="1223"/>
      <c r="N878" s="61"/>
      <c r="O878" s="61"/>
    </row>
    <row r="879" spans="1:15" s="642" customFormat="1" x14ac:dyDescent="0.2">
      <c r="A879" s="583"/>
      <c r="B879" s="926"/>
      <c r="C879" s="781"/>
      <c r="D879" s="780"/>
      <c r="E879" s="249"/>
      <c r="F879" s="42"/>
      <c r="G879" s="42"/>
      <c r="H879" s="97" t="s">
        <v>770</v>
      </c>
      <c r="I879" s="170">
        <f>SUM(I857:I878)</f>
        <v>265028000</v>
      </c>
      <c r="J879" s="170">
        <f>SUM(J857:J878)</f>
        <v>13000000</v>
      </c>
      <c r="K879" s="170">
        <f>SUM(K857:K878)</f>
        <v>278028000</v>
      </c>
      <c r="L879" s="27"/>
      <c r="M879" s="1223"/>
      <c r="N879" s="61"/>
      <c r="O879" s="61"/>
    </row>
    <row r="880" spans="1:15" s="642" customFormat="1" ht="15" x14ac:dyDescent="0.2">
      <c r="A880" s="94"/>
      <c r="B880" s="112"/>
      <c r="C880" s="111"/>
      <c r="D880" s="98"/>
      <c r="E880" s="128"/>
      <c r="F880" s="1"/>
      <c r="G880" s="1"/>
      <c r="H880" s="1021"/>
      <c r="I880" s="1021"/>
      <c r="J880" s="1021"/>
      <c r="K880" s="1022"/>
      <c r="L880" s="27"/>
      <c r="M880" s="1223"/>
      <c r="N880" s="61"/>
      <c r="O880" s="61"/>
    </row>
    <row r="881" spans="1:15" s="642" customFormat="1" ht="15" x14ac:dyDescent="0.2">
      <c r="A881" s="94"/>
      <c r="B881" s="112"/>
      <c r="C881" s="111"/>
      <c r="D881" s="98"/>
      <c r="E881" s="128"/>
      <c r="F881" s="1"/>
      <c r="G881" s="1"/>
      <c r="H881" s="138" t="s">
        <v>74</v>
      </c>
      <c r="I881" s="1023"/>
      <c r="J881" s="1023"/>
      <c r="K881" s="1024"/>
      <c r="L881" s="27"/>
      <c r="M881" s="1223"/>
      <c r="N881" s="61"/>
      <c r="O881" s="61"/>
    </row>
    <row r="882" spans="1:15" s="642" customFormat="1" x14ac:dyDescent="0.2">
      <c r="A882" s="94"/>
      <c r="B882" s="112"/>
      <c r="C882" s="111"/>
      <c r="D882" s="98"/>
      <c r="E882" s="128"/>
      <c r="F882" s="1"/>
      <c r="G882" s="38" t="s">
        <v>39</v>
      </c>
      <c r="H882" s="90" t="s">
        <v>40</v>
      </c>
      <c r="I882" s="133">
        <f>SUM(I879)-I883</f>
        <v>252028000</v>
      </c>
      <c r="J882" s="1025"/>
      <c r="K882" s="133">
        <f>SUM(I882:J882)</f>
        <v>252028000</v>
      </c>
      <c r="L882" s="27"/>
      <c r="M882" s="1223"/>
      <c r="N882" s="61"/>
      <c r="O882" s="61"/>
    </row>
    <row r="883" spans="1:15" s="642" customFormat="1" x14ac:dyDescent="0.2">
      <c r="A883" s="94"/>
      <c r="B883" s="112"/>
      <c r="C883" s="111"/>
      <c r="D883" s="98"/>
      <c r="E883" s="128"/>
      <c r="F883" s="1"/>
      <c r="G883" s="38" t="s">
        <v>157</v>
      </c>
      <c r="H883" s="90" t="s">
        <v>354</v>
      </c>
      <c r="I883" s="133">
        <v>13000000</v>
      </c>
      <c r="J883" s="133">
        <v>11000000</v>
      </c>
      <c r="K883" s="133">
        <f>SUM(I883:J883)</f>
        <v>24000000</v>
      </c>
      <c r="L883" s="27"/>
      <c r="M883" s="1223"/>
      <c r="N883" s="61"/>
      <c r="O883" s="61"/>
    </row>
    <row r="884" spans="1:15" s="642" customFormat="1" ht="14.25" customHeight="1" x14ac:dyDescent="0.2">
      <c r="A884" s="94"/>
      <c r="B884" s="112"/>
      <c r="C884" s="111"/>
      <c r="D884" s="98"/>
      <c r="E884" s="128"/>
      <c r="F884" s="1"/>
      <c r="G884" s="38" t="s">
        <v>705</v>
      </c>
      <c r="H884" s="90" t="s">
        <v>706</v>
      </c>
      <c r="I884" s="133"/>
      <c r="J884" s="133">
        <v>2000000</v>
      </c>
      <c r="K884" s="133">
        <f>SUM(I884:J884)</f>
        <v>2000000</v>
      </c>
      <c r="L884" s="27"/>
      <c r="M884" s="1223"/>
      <c r="N884" s="61"/>
      <c r="O884" s="61"/>
    </row>
    <row r="885" spans="1:15" s="642" customFormat="1" x14ac:dyDescent="0.2">
      <c r="A885" s="583"/>
      <c r="B885" s="926"/>
      <c r="C885" s="781"/>
      <c r="D885" s="780"/>
      <c r="E885" s="249"/>
      <c r="F885" s="42"/>
      <c r="G885" s="43"/>
      <c r="H885" s="97" t="s">
        <v>75</v>
      </c>
      <c r="I885" s="170">
        <f>SUM(I882:I884)</f>
        <v>265028000</v>
      </c>
      <c r="J885" s="170">
        <f>SUM(J879)</f>
        <v>13000000</v>
      </c>
      <c r="K885" s="170">
        <f>SUM(K882:K884)</f>
        <v>278028000</v>
      </c>
      <c r="L885" s="27"/>
      <c r="M885" s="1223"/>
      <c r="N885" s="61"/>
      <c r="O885" s="61"/>
    </row>
    <row r="886" spans="1:15" x14ac:dyDescent="0.2">
      <c r="A886" s="106"/>
      <c r="B886" s="375"/>
      <c r="C886" s="113"/>
      <c r="D886" s="359"/>
      <c r="E886" s="213"/>
      <c r="F886" s="46"/>
      <c r="G886" s="64"/>
      <c r="H886" s="55"/>
      <c r="I886" s="59"/>
      <c r="J886" s="59"/>
      <c r="K886" s="373"/>
    </row>
    <row r="887" spans="1:15" s="642" customFormat="1" ht="15" x14ac:dyDescent="0.2">
      <c r="A887" s="94"/>
      <c r="B887" s="112"/>
      <c r="C887" s="111">
        <v>620</v>
      </c>
      <c r="D887" s="98"/>
      <c r="E887" s="128"/>
      <c r="F887" s="1"/>
      <c r="G887" s="1"/>
      <c r="H887" s="1026" t="s">
        <v>142</v>
      </c>
      <c r="I887" s="1023"/>
      <c r="J887" s="1023"/>
      <c r="K887" s="1024"/>
      <c r="L887" s="27"/>
      <c r="M887" s="1223"/>
      <c r="N887" s="61"/>
      <c r="O887" s="61"/>
    </row>
    <row r="888" spans="1:15" s="642" customFormat="1" ht="15" x14ac:dyDescent="0.2">
      <c r="A888" s="94"/>
      <c r="B888" s="112"/>
      <c r="C888" s="111"/>
      <c r="D888" s="98"/>
      <c r="E888" s="128"/>
      <c r="F888" s="1"/>
      <c r="G888" s="1"/>
      <c r="H888" s="29"/>
      <c r="I888" s="1021"/>
      <c r="J888" s="1021"/>
      <c r="K888" s="1022"/>
      <c r="L888" s="27"/>
      <c r="M888" s="1223"/>
      <c r="N888" s="61"/>
      <c r="O888" s="61"/>
    </row>
    <row r="889" spans="1:15" s="642" customFormat="1" ht="22.5" x14ac:dyDescent="0.2">
      <c r="A889" s="94"/>
      <c r="B889" s="112"/>
      <c r="C889" s="111"/>
      <c r="D889" s="98"/>
      <c r="E889" s="128"/>
      <c r="F889" s="1"/>
      <c r="G889" s="38"/>
      <c r="H889" s="167" t="s">
        <v>821</v>
      </c>
      <c r="I889" s="158"/>
      <c r="J889" s="158"/>
      <c r="K889" s="159"/>
      <c r="L889" s="27"/>
      <c r="M889" s="1223"/>
      <c r="N889" s="61"/>
      <c r="O889" s="61"/>
    </row>
    <row r="890" spans="1:15" s="642" customFormat="1" x14ac:dyDescent="0.2">
      <c r="A890" s="94"/>
      <c r="B890" s="112"/>
      <c r="C890" s="111"/>
      <c r="D890" s="98"/>
      <c r="E890" s="128">
        <v>2001</v>
      </c>
      <c r="F890" s="124">
        <v>168</v>
      </c>
      <c r="G890" s="95">
        <v>511</v>
      </c>
      <c r="H890" s="90" t="s">
        <v>20</v>
      </c>
      <c r="I890" s="160">
        <v>1000</v>
      </c>
      <c r="J890" s="173"/>
      <c r="K890" s="160">
        <f>SUM(I890:J890)</f>
        <v>1000</v>
      </c>
      <c r="L890" s="27"/>
      <c r="M890" s="1223"/>
      <c r="N890" s="61"/>
      <c r="O890" s="61"/>
    </row>
    <row r="891" spans="1:15" s="642" customFormat="1" x14ac:dyDescent="0.2">
      <c r="A891" s="94"/>
      <c r="B891" s="112"/>
      <c r="C891" s="111"/>
      <c r="D891" s="98"/>
      <c r="E891" s="128"/>
      <c r="F891" s="1"/>
      <c r="G891" s="38" t="s">
        <v>39</v>
      </c>
      <c r="H891" s="90" t="s">
        <v>40</v>
      </c>
      <c r="I891" s="160">
        <f>SUM(I890)</f>
        <v>1000</v>
      </c>
      <c r="J891" s="173"/>
      <c r="K891" s="160">
        <f>SUM(I891:J891)</f>
        <v>1000</v>
      </c>
      <c r="L891" s="27"/>
      <c r="M891" s="1223"/>
      <c r="N891" s="61"/>
      <c r="O891" s="61"/>
    </row>
    <row r="892" spans="1:15" s="642" customFormat="1" x14ac:dyDescent="0.2">
      <c r="A892" s="94"/>
      <c r="B892" s="112"/>
      <c r="C892" s="111"/>
      <c r="D892" s="98"/>
      <c r="E892" s="128"/>
      <c r="F892" s="42"/>
      <c r="G892" s="43"/>
      <c r="H892" s="97" t="s">
        <v>355</v>
      </c>
      <c r="I892" s="162">
        <f>SUM(I890)</f>
        <v>1000</v>
      </c>
      <c r="J892" s="170"/>
      <c r="K892" s="170">
        <f>SUM(I892:J892)</f>
        <v>1000</v>
      </c>
      <c r="L892" s="27"/>
      <c r="M892" s="1223"/>
      <c r="N892" s="61"/>
      <c r="O892" s="61"/>
    </row>
    <row r="893" spans="1:15" s="642" customFormat="1" ht="15" x14ac:dyDescent="0.2">
      <c r="A893" s="94"/>
      <c r="B893" s="112"/>
      <c r="C893" s="111"/>
      <c r="D893" s="98"/>
      <c r="E893" s="128"/>
      <c r="F893" s="1"/>
      <c r="G893" s="1"/>
      <c r="H893" s="29"/>
      <c r="I893" s="1021"/>
      <c r="J893" s="1021"/>
      <c r="K893" s="1022"/>
      <c r="L893" s="27"/>
      <c r="M893" s="1223"/>
      <c r="N893" s="61"/>
      <c r="O893" s="61"/>
    </row>
    <row r="894" spans="1:15" s="642" customFormat="1" ht="22.5" x14ac:dyDescent="0.2">
      <c r="A894" s="94"/>
      <c r="B894" s="112"/>
      <c r="C894" s="111"/>
      <c r="D894" s="1027"/>
      <c r="E894" s="128">
        <v>2001</v>
      </c>
      <c r="F894" s="1"/>
      <c r="G894" s="38"/>
      <c r="H894" s="167" t="s">
        <v>1047</v>
      </c>
      <c r="I894" s="158"/>
      <c r="J894" s="158"/>
      <c r="K894" s="159"/>
      <c r="L894" s="27"/>
      <c r="M894" s="1223"/>
      <c r="N894" s="61"/>
      <c r="O894" s="61"/>
    </row>
    <row r="895" spans="1:15" s="642" customFormat="1" x14ac:dyDescent="0.2">
      <c r="A895" s="1028"/>
      <c r="B895" s="1029"/>
      <c r="C895" s="826"/>
      <c r="D895" s="831"/>
      <c r="E895" s="483"/>
      <c r="F895" s="499">
        <v>169</v>
      </c>
      <c r="G895" s="500">
        <v>511</v>
      </c>
      <c r="H895" s="12" t="s">
        <v>20</v>
      </c>
      <c r="I895" s="133">
        <v>132600000</v>
      </c>
      <c r="J895" s="133"/>
      <c r="K895" s="133">
        <f>SUM(I895:J895)</f>
        <v>132600000</v>
      </c>
      <c r="L895" s="695"/>
      <c r="M895" s="1223"/>
      <c r="N895" s="61"/>
      <c r="O895" s="61"/>
    </row>
    <row r="896" spans="1:15" s="642" customFormat="1" x14ac:dyDescent="0.2">
      <c r="A896" s="94"/>
      <c r="B896" s="112"/>
      <c r="C896" s="98"/>
      <c r="D896" s="98"/>
      <c r="E896" s="948"/>
      <c r="F896" s="1"/>
      <c r="G896" s="38" t="s">
        <v>39</v>
      </c>
      <c r="H896" s="90" t="s">
        <v>40</v>
      </c>
      <c r="I896" s="133">
        <f>SUM(I895)</f>
        <v>132600000</v>
      </c>
      <c r="J896" s="173"/>
      <c r="K896" s="160">
        <f>SUM(I896:J896)</f>
        <v>132600000</v>
      </c>
      <c r="L896" s="27"/>
      <c r="M896" s="1223"/>
      <c r="N896" s="61"/>
      <c r="O896" s="61"/>
    </row>
    <row r="897" spans="1:15" s="642" customFormat="1" x14ac:dyDescent="0.2">
      <c r="A897" s="112"/>
      <c r="B897" s="94"/>
      <c r="C897" s="98"/>
      <c r="D897" s="98"/>
      <c r="E897" s="948"/>
      <c r="F897" s="1"/>
      <c r="G897" s="38"/>
      <c r="H897" s="97" t="s">
        <v>350</v>
      </c>
      <c r="I897" s="170">
        <f>SUM(I895)</f>
        <v>132600000</v>
      </c>
      <c r="J897" s="170"/>
      <c r="K897" s="170">
        <f>SUM(I897:J897)</f>
        <v>132600000</v>
      </c>
      <c r="L897" s="27"/>
      <c r="M897" s="1223"/>
      <c r="N897" s="61"/>
      <c r="O897" s="61"/>
    </row>
    <row r="898" spans="1:15" x14ac:dyDescent="0.2">
      <c r="A898" s="375"/>
      <c r="B898" s="106"/>
      <c r="C898" s="359"/>
      <c r="D898" s="359"/>
      <c r="E898" s="394"/>
      <c r="F898" s="46"/>
      <c r="G898" s="67"/>
      <c r="H898" s="70"/>
      <c r="I898" s="229"/>
      <c r="J898" s="229"/>
      <c r="K898" s="229"/>
    </row>
    <row r="899" spans="1:15" s="642" customFormat="1" x14ac:dyDescent="0.2">
      <c r="A899" s="112"/>
      <c r="B899" s="94"/>
      <c r="C899" s="98"/>
      <c r="D899" s="98"/>
      <c r="E899" s="128">
        <v>2001</v>
      </c>
      <c r="F899" s="1"/>
      <c r="G899" s="38"/>
      <c r="H899" s="167" t="s">
        <v>1049</v>
      </c>
      <c r="I899" s="158"/>
      <c r="J899" s="158"/>
      <c r="K899" s="159"/>
      <c r="L899" s="27"/>
      <c r="M899" s="1223"/>
      <c r="N899" s="61"/>
      <c r="O899" s="61"/>
    </row>
    <row r="900" spans="1:15" s="642" customFormat="1" x14ac:dyDescent="0.2">
      <c r="A900" s="112"/>
      <c r="B900" s="94"/>
      <c r="C900" s="98"/>
      <c r="D900" s="98"/>
      <c r="E900" s="128"/>
      <c r="F900" s="95" t="s">
        <v>1048</v>
      </c>
      <c r="G900" s="193" t="s">
        <v>51</v>
      </c>
      <c r="H900" s="1030" t="s">
        <v>10</v>
      </c>
      <c r="I900" s="187">
        <v>132000</v>
      </c>
      <c r="J900" s="187"/>
      <c r="K900" s="187">
        <f>SUM(I900:J900)</f>
        <v>132000</v>
      </c>
      <c r="L900" s="27"/>
      <c r="M900" s="1223"/>
      <c r="N900" s="61"/>
      <c r="O900" s="61"/>
    </row>
    <row r="901" spans="1:15" s="642" customFormat="1" x14ac:dyDescent="0.2">
      <c r="A901" s="112"/>
      <c r="B901" s="94"/>
      <c r="C901" s="98"/>
      <c r="D901" s="98"/>
      <c r="E901" s="128"/>
      <c r="F901" s="124" t="s">
        <v>1050</v>
      </c>
      <c r="G901" s="101">
        <v>511</v>
      </c>
      <c r="H901" s="93" t="s">
        <v>20</v>
      </c>
      <c r="I901" s="242">
        <v>7200000</v>
      </c>
      <c r="J901" s="242"/>
      <c r="K901" s="242">
        <f>SUM(I901:J901)</f>
        <v>7200000</v>
      </c>
      <c r="L901" s="27"/>
      <c r="M901" s="1223"/>
      <c r="N901" s="61"/>
      <c r="O901" s="61"/>
    </row>
    <row r="902" spans="1:15" s="642" customFormat="1" x14ac:dyDescent="0.2">
      <c r="A902" s="112"/>
      <c r="B902" s="94"/>
      <c r="C902" s="98"/>
      <c r="D902" s="98"/>
      <c r="E902" s="948"/>
      <c r="F902" s="1"/>
      <c r="G902" s="38" t="s">
        <v>39</v>
      </c>
      <c r="H902" s="90" t="s">
        <v>40</v>
      </c>
      <c r="I902" s="160">
        <f>SUM(I900:I901)</f>
        <v>7332000</v>
      </c>
      <c r="J902" s="161"/>
      <c r="K902" s="160">
        <f>SUM(I902:J902)</f>
        <v>7332000</v>
      </c>
      <c r="L902" s="27"/>
      <c r="M902" s="1223"/>
      <c r="N902" s="61"/>
      <c r="O902" s="61"/>
    </row>
    <row r="903" spans="1:15" s="642" customFormat="1" x14ac:dyDescent="0.2">
      <c r="A903" s="112"/>
      <c r="B903" s="94"/>
      <c r="C903" s="98"/>
      <c r="D903" s="98"/>
      <c r="E903" s="948"/>
      <c r="F903" s="1"/>
      <c r="G903" s="38"/>
      <c r="H903" s="97" t="s">
        <v>350</v>
      </c>
      <c r="I903" s="162">
        <f>SUM(I902)</f>
        <v>7332000</v>
      </c>
      <c r="J903" s="162"/>
      <c r="K903" s="162">
        <f>SUM(I903:J903)</f>
        <v>7332000</v>
      </c>
      <c r="L903" s="27"/>
      <c r="M903" s="1223"/>
      <c r="N903" s="61"/>
      <c r="O903" s="61"/>
    </row>
    <row r="904" spans="1:15" s="16" customFormat="1" ht="15" x14ac:dyDescent="0.25">
      <c r="A904" s="106"/>
      <c r="B904" s="219"/>
      <c r="C904" s="359"/>
      <c r="D904" s="359"/>
      <c r="E904" s="213"/>
      <c r="F904" s="434"/>
      <c r="G904" s="64"/>
      <c r="H904" s="411"/>
      <c r="I904" s="247"/>
      <c r="J904" s="247"/>
      <c r="K904" s="247"/>
      <c r="L904" s="298"/>
      <c r="M904" s="1226"/>
      <c r="N904" s="53"/>
      <c r="O904" s="53"/>
    </row>
    <row r="905" spans="1:15" s="642" customFormat="1" ht="15" x14ac:dyDescent="0.2">
      <c r="A905" s="94"/>
      <c r="B905" s="112"/>
      <c r="C905" s="111">
        <v>620</v>
      </c>
      <c r="D905" s="98"/>
      <c r="E905" s="128"/>
      <c r="F905" s="1"/>
      <c r="G905" s="1"/>
      <c r="H905" s="1031" t="s">
        <v>142</v>
      </c>
      <c r="I905" s="1032"/>
      <c r="J905" s="1032"/>
      <c r="K905" s="1033"/>
      <c r="L905" s="27"/>
      <c r="M905" s="1223"/>
      <c r="N905" s="61"/>
      <c r="O905" s="61"/>
    </row>
    <row r="906" spans="1:15" ht="15" x14ac:dyDescent="0.2">
      <c r="A906" s="106"/>
      <c r="B906" s="375"/>
      <c r="C906" s="113"/>
      <c r="D906" s="359"/>
      <c r="E906" s="213"/>
      <c r="F906" s="46"/>
      <c r="G906" s="46"/>
      <c r="H906" s="70"/>
      <c r="I906" s="233"/>
      <c r="J906" s="233"/>
      <c r="K906" s="282"/>
    </row>
    <row r="907" spans="1:15" ht="22.5" x14ac:dyDescent="0.2">
      <c r="A907" s="106"/>
      <c r="B907" s="375"/>
      <c r="C907" s="113"/>
      <c r="D907" s="410"/>
      <c r="E907" s="128">
        <v>2001</v>
      </c>
      <c r="F907" s="1"/>
      <c r="G907" s="38"/>
      <c r="H907" s="167" t="s">
        <v>800</v>
      </c>
      <c r="I907" s="158"/>
      <c r="J907" s="158"/>
      <c r="K907" s="159"/>
    </row>
    <row r="908" spans="1:15" x14ac:dyDescent="0.2">
      <c r="A908" s="106"/>
      <c r="B908" s="375"/>
      <c r="C908" s="113"/>
      <c r="D908" s="410"/>
      <c r="E908" s="128"/>
      <c r="F908" s="284" t="s">
        <v>1097</v>
      </c>
      <c r="G908" s="193" t="s">
        <v>51</v>
      </c>
      <c r="H908" s="470" t="s">
        <v>10</v>
      </c>
      <c r="I908" s="187">
        <v>100000</v>
      </c>
      <c r="J908" s="187"/>
      <c r="K908" s="187">
        <f>SUM(I908:J908)</f>
        <v>100000</v>
      </c>
    </row>
    <row r="909" spans="1:15" x14ac:dyDescent="0.2">
      <c r="A909" s="106"/>
      <c r="B909" s="375"/>
      <c r="C909" s="113"/>
      <c r="D909" s="359"/>
      <c r="E909" s="128"/>
      <c r="F909" s="124">
        <v>170</v>
      </c>
      <c r="G909" s="95">
        <v>425</v>
      </c>
      <c r="H909" s="90" t="s">
        <v>11</v>
      </c>
      <c r="I909" s="160">
        <v>1000</v>
      </c>
      <c r="J909" s="161"/>
      <c r="K909" s="160">
        <f>SUM(I909:J909)</f>
        <v>1000</v>
      </c>
    </row>
    <row r="910" spans="1:15" x14ac:dyDescent="0.2">
      <c r="A910" s="106"/>
      <c r="B910" s="375"/>
      <c r="C910" s="113"/>
      <c r="D910" s="359"/>
      <c r="E910" s="128"/>
      <c r="F910" s="95" t="s">
        <v>1098</v>
      </c>
      <c r="G910" s="95">
        <v>511</v>
      </c>
      <c r="H910" s="196" t="s">
        <v>20</v>
      </c>
      <c r="I910" s="160">
        <v>1900000</v>
      </c>
      <c r="J910" s="161"/>
      <c r="K910" s="160">
        <f>SUM(I910:J910)</f>
        <v>1900000</v>
      </c>
    </row>
    <row r="911" spans="1:15" x14ac:dyDescent="0.2">
      <c r="A911" s="106"/>
      <c r="B911" s="375"/>
      <c r="C911" s="113"/>
      <c r="D911" s="359"/>
      <c r="E911" s="128"/>
      <c r="F911" s="1"/>
      <c r="G911" s="38" t="s">
        <v>39</v>
      </c>
      <c r="H911" s="93" t="s">
        <v>40</v>
      </c>
      <c r="I911" s="242">
        <f>SUM(I908:I910)</f>
        <v>2001000</v>
      </c>
      <c r="J911" s="469"/>
      <c r="K911" s="242">
        <f>SUM(I911:J911)</f>
        <v>2001000</v>
      </c>
    </row>
    <row r="912" spans="1:15" x14ac:dyDescent="0.2">
      <c r="A912" s="106"/>
      <c r="B912" s="375"/>
      <c r="C912" s="113"/>
      <c r="D912" s="359"/>
      <c r="E912" s="128"/>
      <c r="F912" s="1"/>
      <c r="G912" s="38"/>
      <c r="H912" s="97" t="s">
        <v>343</v>
      </c>
      <c r="I912" s="162">
        <f>SUM(I911)</f>
        <v>2001000</v>
      </c>
      <c r="J912" s="162"/>
      <c r="K912" s="162">
        <f>SUM(I912:J912)</f>
        <v>2001000</v>
      </c>
    </row>
    <row r="913" spans="1:15" x14ac:dyDescent="0.2">
      <c r="A913" s="106"/>
      <c r="B913" s="219"/>
      <c r="C913" s="359"/>
      <c r="D913" s="359"/>
      <c r="E913" s="213"/>
      <c r="F913" s="434"/>
      <c r="G913" s="64"/>
      <c r="H913" s="70"/>
      <c r="I913" s="229"/>
      <c r="J913" s="229"/>
      <c r="K913" s="384"/>
    </row>
    <row r="914" spans="1:15" s="642" customFormat="1" ht="15" x14ac:dyDescent="0.2">
      <c r="A914" s="94"/>
      <c r="B914" s="112"/>
      <c r="C914" s="111">
        <v>620</v>
      </c>
      <c r="D914" s="98"/>
      <c r="E914" s="128"/>
      <c r="F914" s="1"/>
      <c r="G914" s="1"/>
      <c r="H914" s="1026" t="s">
        <v>142</v>
      </c>
      <c r="I914" s="1023"/>
      <c r="J914" s="1023"/>
      <c r="K914" s="1024"/>
      <c r="L914" s="27"/>
      <c r="M914" s="1223"/>
      <c r="N914" s="61"/>
      <c r="O914" s="61"/>
    </row>
    <row r="915" spans="1:15" s="642" customFormat="1" ht="15" x14ac:dyDescent="0.2">
      <c r="A915" s="94"/>
      <c r="B915" s="112"/>
      <c r="C915" s="111"/>
      <c r="D915" s="98"/>
      <c r="E915" s="128"/>
      <c r="F915" s="1"/>
      <c r="G915" s="1"/>
      <c r="H915" s="29"/>
      <c r="I915" s="1021"/>
      <c r="J915" s="1021"/>
      <c r="K915" s="1022"/>
      <c r="L915" s="27"/>
      <c r="M915" s="1223"/>
      <c r="N915" s="61"/>
      <c r="O915" s="61"/>
    </row>
    <row r="916" spans="1:15" s="642" customFormat="1" ht="22.5" x14ac:dyDescent="0.2">
      <c r="A916" s="94"/>
      <c r="B916" s="112"/>
      <c r="C916" s="111"/>
      <c r="D916" s="1027"/>
      <c r="E916" s="128">
        <v>2001</v>
      </c>
      <c r="F916" s="1034"/>
      <c r="G916" s="1035" t="s">
        <v>835</v>
      </c>
      <c r="H916" s="1046" t="s">
        <v>834</v>
      </c>
      <c r="I916" s="1036"/>
      <c r="J916" s="1036"/>
      <c r="K916" s="1037"/>
      <c r="L916" s="27"/>
      <c r="M916" s="1223"/>
      <c r="N916" s="61"/>
      <c r="O916" s="61"/>
    </row>
    <row r="917" spans="1:15" s="642" customFormat="1" ht="15" x14ac:dyDescent="0.2">
      <c r="A917" s="94"/>
      <c r="B917" s="112"/>
      <c r="C917" s="111"/>
      <c r="D917" s="1027"/>
      <c r="E917" s="128"/>
      <c r="F917" s="1038">
        <v>171</v>
      </c>
      <c r="G917" s="1039" t="s">
        <v>51</v>
      </c>
      <c r="H917" s="470" t="s">
        <v>10</v>
      </c>
      <c r="I917" s="501">
        <v>1000</v>
      </c>
      <c r="J917" s="501"/>
      <c r="K917" s="501">
        <f>SUM(I917:J917)</f>
        <v>1000</v>
      </c>
      <c r="L917" s="27"/>
      <c r="M917" s="1223"/>
      <c r="N917" s="61"/>
      <c r="O917" s="61"/>
    </row>
    <row r="918" spans="1:15" s="642" customFormat="1" ht="15" x14ac:dyDescent="0.2">
      <c r="A918" s="94"/>
      <c r="B918" s="112"/>
      <c r="C918" s="111"/>
      <c r="D918" s="98"/>
      <c r="E918" s="128"/>
      <c r="F918" s="1040">
        <v>172</v>
      </c>
      <c r="G918" s="1038">
        <v>511</v>
      </c>
      <c r="H918" s="196" t="s">
        <v>20</v>
      </c>
      <c r="I918" s="501">
        <v>1000</v>
      </c>
      <c r="J918" s="501"/>
      <c r="K918" s="501">
        <f>SUM(I918:J918)</f>
        <v>1000</v>
      </c>
      <c r="L918" s="27"/>
      <c r="M918" s="1223"/>
      <c r="N918" s="61"/>
      <c r="O918" s="61"/>
    </row>
    <row r="919" spans="1:15" s="642" customFormat="1" ht="15" x14ac:dyDescent="0.2">
      <c r="A919" s="94"/>
      <c r="B919" s="112"/>
      <c r="C919" s="111"/>
      <c r="D919" s="98"/>
      <c r="E919" s="128"/>
      <c r="F919" s="1034"/>
      <c r="G919" s="1035" t="s">
        <v>39</v>
      </c>
      <c r="H919" s="196" t="s">
        <v>40</v>
      </c>
      <c r="I919" s="501">
        <f>SUM(I917:I918)</f>
        <v>2000</v>
      </c>
      <c r="J919" s="501"/>
      <c r="K919" s="501">
        <f>SUM(I919:J919)</f>
        <v>2000</v>
      </c>
      <c r="L919" s="27"/>
      <c r="M919" s="1223"/>
      <c r="N919" s="61"/>
      <c r="O919" s="61"/>
    </row>
    <row r="920" spans="1:15" s="642" customFormat="1" ht="15" x14ac:dyDescent="0.2">
      <c r="A920" s="583"/>
      <c r="B920" s="926"/>
      <c r="C920" s="781"/>
      <c r="D920" s="780"/>
      <c r="E920" s="249"/>
      <c r="F920" s="1053"/>
      <c r="G920" s="1054"/>
      <c r="H920" s="1047" t="s">
        <v>344</v>
      </c>
      <c r="I920" s="1043">
        <f>SUM(I919)</f>
        <v>2000</v>
      </c>
      <c r="J920" s="501"/>
      <c r="K920" s="501">
        <f>SUM(I920:J920)</f>
        <v>2000</v>
      </c>
      <c r="L920" s="27"/>
      <c r="M920" s="1223"/>
      <c r="N920" s="61"/>
      <c r="O920" s="61"/>
    </row>
    <row r="921" spans="1:15" s="1052" customFormat="1" ht="15" x14ac:dyDescent="0.2">
      <c r="A921" s="40"/>
      <c r="B921" s="40"/>
      <c r="C921" s="39"/>
      <c r="D921" s="39"/>
      <c r="E921" s="506"/>
      <c r="F921" s="1034"/>
      <c r="G921" s="1035"/>
      <c r="H921" s="1044"/>
      <c r="I921" s="1045"/>
      <c r="J921" s="1003"/>
      <c r="K921" s="1003"/>
      <c r="L921" s="48"/>
      <c r="M921" s="863"/>
      <c r="N921" s="1051"/>
      <c r="O921" s="1051"/>
    </row>
    <row r="922" spans="1:15" s="642" customFormat="1" ht="22.5" x14ac:dyDescent="0.2">
      <c r="A922" s="583"/>
      <c r="B922" s="583"/>
      <c r="C922" s="780"/>
      <c r="D922" s="780"/>
      <c r="E922" s="249"/>
      <c r="F922" s="1049"/>
      <c r="G922" s="1214" t="s">
        <v>835</v>
      </c>
      <c r="H922" s="1217" t="s">
        <v>936</v>
      </c>
      <c r="I922" s="1212"/>
      <c r="J922" s="1212"/>
      <c r="K922" s="1213"/>
      <c r="L922" s="27"/>
      <c r="M922" s="1223"/>
      <c r="N922" s="61"/>
      <c r="O922" s="61"/>
    </row>
    <row r="923" spans="1:15" s="642" customFormat="1" ht="15" x14ac:dyDescent="0.2">
      <c r="A923" s="94"/>
      <c r="B923" s="112"/>
      <c r="C923" s="111"/>
      <c r="D923" s="98"/>
      <c r="E923" s="128"/>
      <c r="F923" s="1040">
        <v>173</v>
      </c>
      <c r="G923" s="1038">
        <v>511</v>
      </c>
      <c r="H923" s="1215" t="s">
        <v>20</v>
      </c>
      <c r="I923" s="1216">
        <v>300000</v>
      </c>
      <c r="J923" s="1216"/>
      <c r="K923" s="1216">
        <f>SUM(I923:J923)</f>
        <v>300000</v>
      </c>
      <c r="L923" s="27"/>
      <c r="M923" s="1223"/>
      <c r="N923" s="61"/>
      <c r="O923" s="61"/>
    </row>
    <row r="924" spans="1:15" s="642" customFormat="1" ht="15" x14ac:dyDescent="0.2">
      <c r="A924" s="94"/>
      <c r="B924" s="112"/>
      <c r="C924" s="111"/>
      <c r="D924" s="98"/>
      <c r="E924" s="128"/>
      <c r="F924" s="1034"/>
      <c r="G924" s="1035" t="s">
        <v>39</v>
      </c>
      <c r="H924" s="196" t="s">
        <v>40</v>
      </c>
      <c r="I924" s="501">
        <f>SUM(I923:I923)</f>
        <v>300000</v>
      </c>
      <c r="J924" s="501"/>
      <c r="K924" s="501">
        <f>SUM(I924:J924)</f>
        <v>300000</v>
      </c>
      <c r="L924" s="27"/>
      <c r="M924" s="1223"/>
      <c r="N924" s="61"/>
      <c r="O924" s="61"/>
    </row>
    <row r="925" spans="1:15" s="642" customFormat="1" ht="15" x14ac:dyDescent="0.2">
      <c r="A925" s="94"/>
      <c r="B925" s="112"/>
      <c r="C925" s="111"/>
      <c r="D925" s="98"/>
      <c r="E925" s="128"/>
      <c r="F925" s="1041"/>
      <c r="G925" s="1042"/>
      <c r="H925" s="1047" t="s">
        <v>345</v>
      </c>
      <c r="I925" s="1043">
        <f>SUM(I924)</f>
        <v>300000</v>
      </c>
      <c r="J925" s="501"/>
      <c r="K925" s="501">
        <f>SUM(I925:J925)</f>
        <v>300000</v>
      </c>
      <c r="L925" s="27"/>
      <c r="M925" s="1223"/>
      <c r="N925" s="61"/>
      <c r="O925" s="61"/>
    </row>
    <row r="926" spans="1:15" x14ac:dyDescent="0.2">
      <c r="A926" s="106"/>
      <c r="B926" s="375"/>
      <c r="C926" s="113"/>
      <c r="D926" s="359"/>
      <c r="E926" s="213"/>
      <c r="F926" s="46"/>
      <c r="G926" s="64"/>
      <c r="H926" s="70"/>
      <c r="I926" s="229"/>
      <c r="J926" s="229"/>
      <c r="K926" s="384"/>
    </row>
    <row r="927" spans="1:15" s="642" customFormat="1" x14ac:dyDescent="0.2">
      <c r="A927" s="917"/>
      <c r="B927" s="993"/>
      <c r="C927" s="789"/>
      <c r="D927" s="912">
        <v>2002</v>
      </c>
      <c r="E927" s="148"/>
      <c r="F927" s="134"/>
      <c r="G927" s="135"/>
      <c r="H927" s="220" t="s">
        <v>554</v>
      </c>
      <c r="I927" s="221">
        <f>SUM(I954+I959)</f>
        <v>184710123</v>
      </c>
      <c r="J927" s="908"/>
      <c r="K927" s="222">
        <f>SUM(I927:J927)</f>
        <v>184710123</v>
      </c>
      <c r="L927" s="887"/>
      <c r="M927" s="1223"/>
      <c r="N927" s="61"/>
      <c r="O927" s="61"/>
    </row>
    <row r="928" spans="1:15" s="642" customFormat="1" x14ac:dyDescent="0.2">
      <c r="A928" s="917"/>
      <c r="B928" s="993"/>
      <c r="C928" s="789"/>
      <c r="D928" s="912"/>
      <c r="E928" s="148"/>
      <c r="F928" s="134"/>
      <c r="G928" s="135"/>
      <c r="H928" s="144"/>
      <c r="I928" s="149"/>
      <c r="J928" s="145"/>
      <c r="K928" s="198"/>
      <c r="L928" s="887"/>
      <c r="M928" s="1223"/>
      <c r="N928" s="61"/>
      <c r="O928" s="61"/>
    </row>
    <row r="929" spans="1:15" s="642" customFormat="1" x14ac:dyDescent="0.2">
      <c r="A929" s="94"/>
      <c r="B929" s="112"/>
      <c r="C929" s="111"/>
      <c r="D929" s="98"/>
      <c r="E929" s="128"/>
      <c r="F929" s="1"/>
      <c r="G929" s="38"/>
      <c r="H929" s="136" t="s">
        <v>334</v>
      </c>
      <c r="I929" s="180"/>
      <c r="J929" s="180"/>
      <c r="K929" s="889"/>
      <c r="L929" s="27"/>
      <c r="M929" s="1223"/>
      <c r="N929" s="61"/>
      <c r="O929" s="61"/>
    </row>
    <row r="930" spans="1:15" s="642" customFormat="1" x14ac:dyDescent="0.2">
      <c r="A930" s="94"/>
      <c r="B930" s="112"/>
      <c r="C930" s="111"/>
      <c r="D930" s="98"/>
      <c r="E930" s="128" t="s">
        <v>287</v>
      </c>
      <c r="F930" s="1"/>
      <c r="G930" s="38"/>
      <c r="H930" s="137" t="s">
        <v>288</v>
      </c>
      <c r="I930" s="141"/>
      <c r="J930" s="141"/>
      <c r="K930" s="793"/>
      <c r="L930" s="27"/>
      <c r="M930" s="1223"/>
      <c r="N930" s="61"/>
      <c r="O930" s="61"/>
    </row>
    <row r="931" spans="1:15" s="893" customFormat="1" x14ac:dyDescent="0.2">
      <c r="A931" s="94"/>
      <c r="B931" s="112"/>
      <c r="C931" s="111"/>
      <c r="D931" s="98"/>
      <c r="E931" s="128"/>
      <c r="F931" s="1"/>
      <c r="G931" s="40"/>
      <c r="H931" s="50"/>
      <c r="I931" s="48"/>
      <c r="J931" s="48"/>
      <c r="K931" s="205"/>
      <c r="L931" s="27"/>
      <c r="M931" s="1224"/>
      <c r="N931" s="892"/>
      <c r="O931" s="892"/>
    </row>
    <row r="932" spans="1:15" s="893" customFormat="1" x14ac:dyDescent="0.2">
      <c r="A932" s="94"/>
      <c r="B932" s="112"/>
      <c r="C932" s="111">
        <v>912</v>
      </c>
      <c r="D932" s="98"/>
      <c r="E932" s="128"/>
      <c r="F932" s="1"/>
      <c r="G932" s="39"/>
      <c r="H932" s="168" t="s">
        <v>76</v>
      </c>
      <c r="I932" s="163"/>
      <c r="J932" s="163"/>
      <c r="K932" s="164"/>
      <c r="L932" s="27"/>
      <c r="M932" s="1224"/>
      <c r="N932" s="892"/>
      <c r="O932" s="892"/>
    </row>
    <row r="933" spans="1:15" s="642" customFormat="1" x14ac:dyDescent="0.2">
      <c r="A933" s="94"/>
      <c r="B933" s="112"/>
      <c r="C933" s="111"/>
      <c r="D933" s="98"/>
      <c r="E933" s="128"/>
      <c r="F933" s="1"/>
      <c r="G933" s="39"/>
      <c r="H933" s="56"/>
      <c r="I933" s="48"/>
      <c r="J933" s="48"/>
      <c r="K933" s="205"/>
      <c r="L933" s="27"/>
      <c r="M933" s="1223"/>
      <c r="N933" s="61"/>
      <c r="O933" s="61"/>
    </row>
    <row r="934" spans="1:15" s="642" customFormat="1" x14ac:dyDescent="0.2">
      <c r="A934" s="94"/>
      <c r="B934" s="112"/>
      <c r="C934" s="111"/>
      <c r="D934" s="98"/>
      <c r="E934" s="128"/>
      <c r="F934" s="120">
        <v>174</v>
      </c>
      <c r="G934" s="100">
        <v>463</v>
      </c>
      <c r="H934" s="89" t="s">
        <v>278</v>
      </c>
      <c r="I934" s="161">
        <f>SUM(I935:I949)</f>
        <v>183110123</v>
      </c>
      <c r="J934" s="161"/>
      <c r="K934" s="161">
        <f>SUM(K935:K949)</f>
        <v>183110123</v>
      </c>
      <c r="L934" s="27"/>
      <c r="M934" s="1223"/>
      <c r="N934" s="61"/>
      <c r="O934" s="61"/>
    </row>
    <row r="935" spans="1:15" s="642" customFormat="1" x14ac:dyDescent="0.2">
      <c r="A935" s="94"/>
      <c r="B935" s="112"/>
      <c r="C935" s="111"/>
      <c r="D935" s="98"/>
      <c r="E935" s="128"/>
      <c r="F935" s="119"/>
      <c r="G935" s="176"/>
      <c r="H935" s="90" t="s">
        <v>77</v>
      </c>
      <c r="I935" s="160">
        <v>2355000</v>
      </c>
      <c r="J935" s="160"/>
      <c r="K935" s="160">
        <f>SUM(I935:J935)</f>
        <v>2355000</v>
      </c>
      <c r="L935" s="27"/>
      <c r="M935" s="1223"/>
      <c r="N935" s="61"/>
      <c r="O935" s="61"/>
    </row>
    <row r="936" spans="1:15" s="642" customFormat="1" x14ac:dyDescent="0.2">
      <c r="A936" s="94"/>
      <c r="B936" s="112"/>
      <c r="C936" s="111"/>
      <c r="D936" s="98"/>
      <c r="E936" s="128"/>
      <c r="F936" s="119"/>
      <c r="G936" s="176"/>
      <c r="H936" s="90" t="s">
        <v>78</v>
      </c>
      <c r="I936" s="160">
        <v>3230000</v>
      </c>
      <c r="J936" s="160"/>
      <c r="K936" s="160">
        <f t="shared" ref="K936:K950" si="63">SUM(I936+J936)</f>
        <v>3230000</v>
      </c>
      <c r="L936" s="27"/>
      <c r="M936" s="1223"/>
      <c r="N936" s="61"/>
      <c r="O936" s="61"/>
    </row>
    <row r="937" spans="1:15" s="642" customFormat="1" x14ac:dyDescent="0.2">
      <c r="A937" s="94"/>
      <c r="B937" s="112"/>
      <c r="C937" s="111"/>
      <c r="D937" s="98"/>
      <c r="E937" s="128"/>
      <c r="F937" s="119"/>
      <c r="G937" s="176"/>
      <c r="H937" s="90" t="s">
        <v>79</v>
      </c>
      <c r="I937" s="1275">
        <v>21465000</v>
      </c>
      <c r="J937" s="160"/>
      <c r="K937" s="160">
        <f t="shared" si="63"/>
        <v>21465000</v>
      </c>
      <c r="L937" s="27"/>
      <c r="M937" s="1223"/>
      <c r="N937" s="61"/>
      <c r="O937" s="61"/>
    </row>
    <row r="938" spans="1:15" s="642" customFormat="1" x14ac:dyDescent="0.2">
      <c r="A938" s="94"/>
      <c r="B938" s="112"/>
      <c r="C938" s="111"/>
      <c r="D938" s="98"/>
      <c r="E938" s="128"/>
      <c r="F938" s="119"/>
      <c r="G938" s="176"/>
      <c r="H938" s="90" t="s">
        <v>80</v>
      </c>
      <c r="I938" s="1275">
        <v>5959800</v>
      </c>
      <c r="J938" s="160"/>
      <c r="K938" s="160">
        <f t="shared" si="63"/>
        <v>5959800</v>
      </c>
      <c r="L938" s="27"/>
      <c r="M938" s="1223"/>
      <c r="N938" s="61"/>
      <c r="O938" s="61"/>
    </row>
    <row r="939" spans="1:15" s="642" customFormat="1" x14ac:dyDescent="0.2">
      <c r="A939" s="94"/>
      <c r="B939" s="112"/>
      <c r="C939" s="111"/>
      <c r="D939" s="98"/>
      <c r="E939" s="128"/>
      <c r="F939" s="119"/>
      <c r="G939" s="176"/>
      <c r="H939" s="89" t="s">
        <v>81</v>
      </c>
      <c r="I939" s="160">
        <v>69213450</v>
      </c>
      <c r="J939" s="160"/>
      <c r="K939" s="160">
        <f t="shared" si="63"/>
        <v>69213450</v>
      </c>
      <c r="L939" s="27"/>
      <c r="M939" s="1223"/>
      <c r="N939" s="61"/>
      <c r="O939" s="61"/>
    </row>
    <row r="940" spans="1:15" s="642" customFormat="1" x14ac:dyDescent="0.2">
      <c r="A940" s="94"/>
      <c r="B940" s="112"/>
      <c r="C940" s="111"/>
      <c r="D940" s="98"/>
      <c r="E940" s="128"/>
      <c r="F940" s="119"/>
      <c r="G940" s="176"/>
      <c r="H940" s="90" t="s">
        <v>82</v>
      </c>
      <c r="I940" s="160">
        <v>3310000</v>
      </c>
      <c r="J940" s="160"/>
      <c r="K940" s="160">
        <f t="shared" si="63"/>
        <v>3310000</v>
      </c>
      <c r="L940" s="27"/>
      <c r="M940" s="1223"/>
      <c r="N940" s="61"/>
      <c r="O940" s="61"/>
    </row>
    <row r="941" spans="1:15" s="642" customFormat="1" x14ac:dyDescent="0.2">
      <c r="A941" s="94"/>
      <c r="B941" s="112"/>
      <c r="C941" s="111"/>
      <c r="D941" s="98"/>
      <c r="E941" s="128"/>
      <c r="F941" s="119"/>
      <c r="G941" s="176"/>
      <c r="H941" s="90" t="s">
        <v>83</v>
      </c>
      <c r="I941" s="1275">
        <v>5485200</v>
      </c>
      <c r="J941" s="160"/>
      <c r="K941" s="160">
        <f t="shared" si="63"/>
        <v>5485200</v>
      </c>
      <c r="L941" s="27"/>
      <c r="M941" s="1223"/>
      <c r="N941" s="61"/>
      <c r="O941" s="61"/>
    </row>
    <row r="942" spans="1:15" s="642" customFormat="1" x14ac:dyDescent="0.2">
      <c r="A942" s="94"/>
      <c r="B942" s="112"/>
      <c r="C942" s="111"/>
      <c r="D942" s="98"/>
      <c r="E942" s="128"/>
      <c r="F942" s="119"/>
      <c r="G942" s="176"/>
      <c r="H942" s="90" t="s">
        <v>84</v>
      </c>
      <c r="I942" s="160">
        <v>3900000</v>
      </c>
      <c r="J942" s="160"/>
      <c r="K942" s="160">
        <f t="shared" si="63"/>
        <v>3900000</v>
      </c>
      <c r="L942" s="27"/>
      <c r="M942" s="1223"/>
      <c r="N942" s="61"/>
      <c r="O942" s="61"/>
    </row>
    <row r="943" spans="1:15" s="642" customFormat="1" x14ac:dyDescent="0.2">
      <c r="A943" s="94"/>
      <c r="B943" s="112"/>
      <c r="C943" s="111"/>
      <c r="D943" s="98"/>
      <c r="E943" s="128"/>
      <c r="F943" s="119"/>
      <c r="G943" s="176"/>
      <c r="H943" s="90" t="s">
        <v>85</v>
      </c>
      <c r="I943" s="1275">
        <v>17453150</v>
      </c>
      <c r="J943" s="160"/>
      <c r="K943" s="160">
        <f t="shared" si="63"/>
        <v>17453150</v>
      </c>
      <c r="L943" s="27"/>
      <c r="M943" s="1223"/>
      <c r="N943" s="61"/>
      <c r="O943" s="61"/>
    </row>
    <row r="944" spans="1:15" s="642" customFormat="1" x14ac:dyDescent="0.2">
      <c r="A944" s="94"/>
      <c r="B944" s="112"/>
      <c r="C944" s="111"/>
      <c r="D944" s="98"/>
      <c r="E944" s="128"/>
      <c r="F944" s="119"/>
      <c r="G944" s="176"/>
      <c r="H944" s="90" t="s">
        <v>86</v>
      </c>
      <c r="I944" s="1275">
        <v>10440250</v>
      </c>
      <c r="J944" s="160"/>
      <c r="K944" s="160">
        <f t="shared" si="63"/>
        <v>10440250</v>
      </c>
      <c r="L944" s="27"/>
      <c r="M944" s="1223"/>
      <c r="N944" s="61"/>
      <c r="O944" s="61"/>
    </row>
    <row r="945" spans="1:15" s="642" customFormat="1" x14ac:dyDescent="0.2">
      <c r="A945" s="94"/>
      <c r="B945" s="112"/>
      <c r="C945" s="111"/>
      <c r="D945" s="98"/>
      <c r="E945" s="128"/>
      <c r="F945" s="119"/>
      <c r="G945" s="99"/>
      <c r="H945" s="90" t="s">
        <v>87</v>
      </c>
      <c r="I945" s="160">
        <v>985000</v>
      </c>
      <c r="J945" s="160"/>
      <c r="K945" s="160">
        <f t="shared" si="63"/>
        <v>985000</v>
      </c>
      <c r="L945" s="27"/>
      <c r="M945" s="1223"/>
      <c r="N945" s="61"/>
      <c r="O945" s="61"/>
    </row>
    <row r="946" spans="1:15" s="642" customFormat="1" x14ac:dyDescent="0.2">
      <c r="A946" s="94"/>
      <c r="B946" s="112"/>
      <c r="C946" s="111"/>
      <c r="D946" s="98"/>
      <c r="E946" s="128"/>
      <c r="F946" s="119"/>
      <c r="G946" s="99"/>
      <c r="H946" s="90" t="s">
        <v>274</v>
      </c>
      <c r="I946" s="160">
        <v>7740200</v>
      </c>
      <c r="J946" s="160"/>
      <c r="K946" s="160">
        <f t="shared" si="63"/>
        <v>7740200</v>
      </c>
      <c r="L946" s="27"/>
      <c r="M946" s="1223"/>
      <c r="N946" s="61"/>
      <c r="O946" s="61"/>
    </row>
    <row r="947" spans="1:15" s="642" customFormat="1" x14ac:dyDescent="0.2">
      <c r="A947" s="94"/>
      <c r="B947" s="112"/>
      <c r="C947" s="111"/>
      <c r="D947" s="98"/>
      <c r="E947" s="128"/>
      <c r="F947" s="119"/>
      <c r="G947" s="99"/>
      <c r="H947" s="90" t="s">
        <v>88</v>
      </c>
      <c r="I947" s="160">
        <v>23627773</v>
      </c>
      <c r="J947" s="160"/>
      <c r="K947" s="160">
        <f t="shared" si="63"/>
        <v>23627773</v>
      </c>
      <c r="L947" s="27"/>
      <c r="M947" s="1223"/>
      <c r="N947" s="61"/>
      <c r="O947" s="61"/>
    </row>
    <row r="948" spans="1:15" s="642" customFormat="1" x14ac:dyDescent="0.2">
      <c r="A948" s="94"/>
      <c r="B948" s="112"/>
      <c r="C948" s="111"/>
      <c r="D948" s="98"/>
      <c r="E948" s="128"/>
      <c r="F948" s="119"/>
      <c r="G948" s="99"/>
      <c r="H948" s="90" t="s">
        <v>89</v>
      </c>
      <c r="I948" s="160">
        <v>7845300</v>
      </c>
      <c r="J948" s="160"/>
      <c r="K948" s="160">
        <f t="shared" si="63"/>
        <v>7845300</v>
      </c>
      <c r="L948" s="27"/>
      <c r="M948" s="1223"/>
      <c r="N948" s="61"/>
      <c r="O948" s="61"/>
    </row>
    <row r="949" spans="1:15" s="642" customFormat="1" x14ac:dyDescent="0.2">
      <c r="A949" s="94"/>
      <c r="B949" s="112"/>
      <c r="C949" s="111"/>
      <c r="D949" s="98"/>
      <c r="E949" s="128"/>
      <c r="F949" s="119"/>
      <c r="G949" s="176"/>
      <c r="H949" s="90" t="s">
        <v>93</v>
      </c>
      <c r="I949" s="160">
        <v>100000</v>
      </c>
      <c r="J949" s="160"/>
      <c r="K949" s="160">
        <f t="shared" si="63"/>
        <v>100000</v>
      </c>
      <c r="L949" s="27"/>
      <c r="M949" s="1223"/>
      <c r="N949" s="61"/>
      <c r="O949" s="61"/>
    </row>
    <row r="950" spans="1:15" s="642" customFormat="1" x14ac:dyDescent="0.2">
      <c r="A950" s="583"/>
      <c r="B950" s="926"/>
      <c r="C950" s="781"/>
      <c r="D950" s="780"/>
      <c r="E950" s="982"/>
      <c r="F950" s="101"/>
      <c r="G950" s="968"/>
      <c r="H950" s="261" t="s">
        <v>769</v>
      </c>
      <c r="I950" s="162">
        <f>SUM(I935:I949)</f>
        <v>183110123</v>
      </c>
      <c r="J950" s="162"/>
      <c r="K950" s="162">
        <f t="shared" si="63"/>
        <v>183110123</v>
      </c>
      <c r="L950" s="27"/>
      <c r="M950" s="1223"/>
      <c r="N950" s="61"/>
      <c r="O950" s="61"/>
    </row>
    <row r="951" spans="1:15" s="642" customFormat="1" x14ac:dyDescent="0.2">
      <c r="A951" s="94"/>
      <c r="B951" s="112"/>
      <c r="C951" s="119"/>
      <c r="D951" s="94"/>
      <c r="E951" s="176"/>
      <c r="F951" s="1"/>
      <c r="G951" s="40"/>
      <c r="H951" s="50"/>
      <c r="I951" s="40"/>
      <c r="J951" s="40"/>
      <c r="K951" s="112"/>
      <c r="L951" s="27"/>
      <c r="M951" s="1223"/>
      <c r="N951" s="61"/>
      <c r="O951" s="61"/>
    </row>
    <row r="952" spans="1:15" s="642" customFormat="1" x14ac:dyDescent="0.2">
      <c r="A952" s="94"/>
      <c r="B952" s="112"/>
      <c r="C952" s="111"/>
      <c r="D952" s="98"/>
      <c r="E952" s="128"/>
      <c r="F952" s="37"/>
      <c r="G952" s="37"/>
      <c r="H952" s="1026" t="s">
        <v>90</v>
      </c>
      <c r="I952" s="163"/>
      <c r="J952" s="163"/>
      <c r="K952" s="164"/>
      <c r="L952" s="27"/>
      <c r="M952" s="1223"/>
      <c r="N952" s="61"/>
      <c r="O952" s="61"/>
    </row>
    <row r="953" spans="1:15" s="642" customFormat="1" x14ac:dyDescent="0.2">
      <c r="A953" s="94"/>
      <c r="B953" s="112"/>
      <c r="C953" s="111"/>
      <c r="D953" s="98"/>
      <c r="E953" s="128"/>
      <c r="F953" s="37"/>
      <c r="G953" s="30" t="s">
        <v>39</v>
      </c>
      <c r="H953" s="175" t="s">
        <v>40</v>
      </c>
      <c r="I953" s="160">
        <f>SUM(I950)</f>
        <v>183110123</v>
      </c>
      <c r="J953" s="160"/>
      <c r="K953" s="160">
        <f t="shared" ref="K953" si="64">SUM(K950)</f>
        <v>183110123</v>
      </c>
      <c r="L953" s="27"/>
      <c r="M953" s="1223"/>
      <c r="N953" s="61"/>
      <c r="O953" s="61"/>
    </row>
    <row r="954" spans="1:15" s="642" customFormat="1" x14ac:dyDescent="0.2">
      <c r="A954" s="583"/>
      <c r="B954" s="926"/>
      <c r="C954" s="781"/>
      <c r="D954" s="780"/>
      <c r="E954" s="249"/>
      <c r="F954" s="1048"/>
      <c r="G954" s="510"/>
      <c r="H954" s="97" t="s">
        <v>91</v>
      </c>
      <c r="I954" s="162">
        <f>SUM(I953)</f>
        <v>183110123</v>
      </c>
      <c r="J954" s="162"/>
      <c r="K954" s="162">
        <f t="shared" ref="K954" si="65">SUM(K953)</f>
        <v>183110123</v>
      </c>
      <c r="L954" s="27"/>
      <c r="M954" s="1223"/>
      <c r="N954" s="61"/>
      <c r="O954" s="61"/>
    </row>
    <row r="955" spans="1:15" x14ac:dyDescent="0.2">
      <c r="A955" s="106"/>
      <c r="B955" s="375"/>
      <c r="C955" s="113"/>
      <c r="D955" s="359"/>
      <c r="E955" s="213"/>
      <c r="F955" s="54"/>
      <c r="G955" s="67"/>
      <c r="H955" s="70"/>
      <c r="I955" s="229"/>
      <c r="J955" s="229"/>
      <c r="K955" s="384"/>
    </row>
    <row r="956" spans="1:15" s="642" customFormat="1" ht="22.5" x14ac:dyDescent="0.2">
      <c r="A956" s="94"/>
      <c r="B956" s="112"/>
      <c r="C956" s="111"/>
      <c r="D956" s="98"/>
      <c r="E956" s="128"/>
      <c r="F956" s="1"/>
      <c r="G956" s="38"/>
      <c r="H956" s="1055" t="s">
        <v>836</v>
      </c>
      <c r="I956" s="791"/>
      <c r="J956" s="791"/>
      <c r="K956" s="792"/>
      <c r="L956" s="27"/>
      <c r="M956" s="1223"/>
      <c r="N956" s="61"/>
      <c r="O956" s="61"/>
    </row>
    <row r="957" spans="1:15" s="642" customFormat="1" x14ac:dyDescent="0.2">
      <c r="A957" s="94"/>
      <c r="B957" s="112"/>
      <c r="C957" s="111">
        <v>620</v>
      </c>
      <c r="D957" s="98"/>
      <c r="E957" s="128"/>
      <c r="F957" s="124">
        <v>175</v>
      </c>
      <c r="G957" s="95">
        <v>511</v>
      </c>
      <c r="H957" s="90" t="s">
        <v>735</v>
      </c>
      <c r="I957" s="160">
        <v>1600000</v>
      </c>
      <c r="J957" s="161"/>
      <c r="K957" s="160">
        <f>SUM(I957:J957)</f>
        <v>1600000</v>
      </c>
      <c r="L957" s="27"/>
      <c r="M957" s="1223"/>
      <c r="N957" s="61"/>
      <c r="O957" s="61"/>
    </row>
    <row r="958" spans="1:15" s="642" customFormat="1" x14ac:dyDescent="0.2">
      <c r="A958" s="94"/>
      <c r="B958" s="112"/>
      <c r="C958" s="111"/>
      <c r="D958" s="98"/>
      <c r="E958" s="128"/>
      <c r="F958" s="1"/>
      <c r="G958" s="154" t="s">
        <v>39</v>
      </c>
      <c r="H958" s="90" t="s">
        <v>40</v>
      </c>
      <c r="I958" s="160">
        <v>1600000</v>
      </c>
      <c r="J958" s="161"/>
      <c r="K958" s="160">
        <f>SUM(I958:J958)</f>
        <v>1600000</v>
      </c>
      <c r="L958" s="27"/>
      <c r="M958" s="1223"/>
      <c r="N958" s="61"/>
      <c r="O958" s="61"/>
    </row>
    <row r="959" spans="1:15" s="642" customFormat="1" x14ac:dyDescent="0.2">
      <c r="A959" s="94"/>
      <c r="B959" s="112"/>
      <c r="C959" s="111"/>
      <c r="D959" s="98"/>
      <c r="E959" s="128"/>
      <c r="F959" s="42"/>
      <c r="G959" s="43"/>
      <c r="H959" s="97" t="s">
        <v>350</v>
      </c>
      <c r="I959" s="162">
        <f>SUM(I957)</f>
        <v>1600000</v>
      </c>
      <c r="J959" s="162"/>
      <c r="K959" s="162">
        <f>SUM(I959:J959)</f>
        <v>1600000</v>
      </c>
      <c r="L959" s="27"/>
      <c r="M959" s="1223"/>
      <c r="N959" s="61"/>
      <c r="O959" s="61"/>
    </row>
    <row r="960" spans="1:15" x14ac:dyDescent="0.2">
      <c r="A960" s="106"/>
      <c r="B960" s="375"/>
      <c r="C960" s="113"/>
      <c r="D960" s="359"/>
      <c r="E960" s="213"/>
      <c r="F960" s="54"/>
      <c r="G960" s="67"/>
      <c r="H960" s="70"/>
      <c r="I960" s="229"/>
      <c r="J960" s="229"/>
      <c r="K960" s="384"/>
    </row>
    <row r="961" spans="1:15" s="642" customFormat="1" x14ac:dyDescent="0.2">
      <c r="A961" s="917"/>
      <c r="B961" s="993"/>
      <c r="C961" s="789"/>
      <c r="D961" s="912">
        <v>2003</v>
      </c>
      <c r="E961" s="148"/>
      <c r="F961" s="134"/>
      <c r="G961" s="135"/>
      <c r="H961" s="220" t="s">
        <v>553</v>
      </c>
      <c r="I961" s="221">
        <f>SUM(I988+I998)</f>
        <v>61113651.049999997</v>
      </c>
      <c r="J961" s="221"/>
      <c r="K961" s="222">
        <f>SUM(I961:J961)</f>
        <v>61113651.049999997</v>
      </c>
      <c r="L961" s="887"/>
      <c r="M961" s="1223"/>
      <c r="N961" s="61"/>
      <c r="O961" s="61"/>
    </row>
    <row r="962" spans="1:15" s="642" customFormat="1" x14ac:dyDescent="0.2">
      <c r="A962" s="917"/>
      <c r="B962" s="993"/>
      <c r="C962" s="789"/>
      <c r="D962" s="912"/>
      <c r="E962" s="148"/>
      <c r="F962" s="134"/>
      <c r="G962" s="135"/>
      <c r="H962" s="144"/>
      <c r="I962" s="791"/>
      <c r="J962" s="791"/>
      <c r="K962" s="792"/>
      <c r="L962" s="887"/>
      <c r="M962" s="1223"/>
      <c r="N962" s="61"/>
      <c r="O962" s="61"/>
    </row>
    <row r="963" spans="1:15" s="642" customFormat="1" x14ac:dyDescent="0.2">
      <c r="A963" s="94"/>
      <c r="B963" s="112"/>
      <c r="C963" s="111"/>
      <c r="D963" s="98"/>
      <c r="E963" s="128"/>
      <c r="F963" s="1"/>
      <c r="G963" s="38"/>
      <c r="H963" s="136" t="s">
        <v>334</v>
      </c>
      <c r="I963" s="139"/>
      <c r="J963" s="139"/>
      <c r="K963" s="140"/>
      <c r="L963" s="27"/>
      <c r="M963" s="1223"/>
      <c r="N963" s="61"/>
      <c r="O963" s="61"/>
    </row>
    <row r="964" spans="1:15" s="642" customFormat="1" x14ac:dyDescent="0.2">
      <c r="A964" s="94"/>
      <c r="B964" s="112"/>
      <c r="C964" s="111"/>
      <c r="D964" s="98"/>
      <c r="E964" s="128" t="s">
        <v>289</v>
      </c>
      <c r="F964" s="1"/>
      <c r="G964" s="38"/>
      <c r="H964" s="137" t="s">
        <v>290</v>
      </c>
      <c r="I964" s="186"/>
      <c r="J964" s="186"/>
      <c r="K964" s="181"/>
      <c r="L964" s="27"/>
      <c r="M964" s="1223"/>
      <c r="N964" s="61"/>
      <c r="O964" s="61"/>
    </row>
    <row r="965" spans="1:15" s="893" customFormat="1" x14ac:dyDescent="0.2">
      <c r="A965" s="94"/>
      <c r="B965" s="112"/>
      <c r="C965" s="111"/>
      <c r="D965" s="98"/>
      <c r="E965" s="128"/>
      <c r="F965" s="1"/>
      <c r="G965" s="39"/>
      <c r="H965" s="56"/>
      <c r="I965" s="48"/>
      <c r="J965" s="48"/>
      <c r="K965" s="205"/>
      <c r="L965" s="27"/>
      <c r="M965" s="1224"/>
      <c r="N965" s="892"/>
      <c r="O965" s="892"/>
    </row>
    <row r="966" spans="1:15" s="893" customFormat="1" x14ac:dyDescent="0.2">
      <c r="A966" s="99"/>
      <c r="B966" s="111"/>
      <c r="C966" s="111">
        <v>920</v>
      </c>
      <c r="D966" s="98"/>
      <c r="E966" s="128"/>
      <c r="F966" s="1"/>
      <c r="G966" s="39"/>
      <c r="H966" s="168" t="s">
        <v>92</v>
      </c>
      <c r="I966" s="163"/>
      <c r="J966" s="163"/>
      <c r="K966" s="164"/>
      <c r="L966" s="27"/>
      <c r="M966" s="1224"/>
      <c r="N966" s="892"/>
      <c r="O966" s="892"/>
    </row>
    <row r="967" spans="1:15" x14ac:dyDescent="0.2">
      <c r="A967" s="104"/>
      <c r="B967" s="114"/>
      <c r="C967" s="114"/>
      <c r="D967" s="365"/>
      <c r="E967" s="281"/>
      <c r="F967" s="49"/>
      <c r="G967" s="366"/>
      <c r="H967" s="413"/>
      <c r="I967" s="232"/>
      <c r="J967" s="232"/>
      <c r="K967" s="278"/>
    </row>
    <row r="968" spans="1:15" x14ac:dyDescent="0.2">
      <c r="A968" s="369"/>
      <c r="B968" s="118"/>
      <c r="C968" s="118"/>
      <c r="D968" s="401"/>
      <c r="E968" s="402"/>
      <c r="F968" s="120">
        <v>176</v>
      </c>
      <c r="G968" s="100">
        <v>463</v>
      </c>
      <c r="H968" s="89" t="s">
        <v>278</v>
      </c>
      <c r="I968" s="161">
        <f>SUM(I969:I983)</f>
        <v>56303000</v>
      </c>
      <c r="J968" s="161"/>
      <c r="K968" s="161">
        <f t="shared" ref="K968" si="66">SUM(K969:K983)</f>
        <v>56303000</v>
      </c>
    </row>
    <row r="969" spans="1:15" x14ac:dyDescent="0.2">
      <c r="A969" s="103"/>
      <c r="B969" s="113"/>
      <c r="C969" s="122"/>
      <c r="D969" s="103"/>
      <c r="E969" s="250"/>
      <c r="F969" s="119"/>
      <c r="G969" s="99"/>
      <c r="H969" s="90" t="s">
        <v>77</v>
      </c>
      <c r="I969" s="160">
        <v>580000</v>
      </c>
      <c r="J969" s="160"/>
      <c r="K969" s="160">
        <f t="shared" ref="K969:K971" si="67">SUM(I969+J969)</f>
        <v>580000</v>
      </c>
      <c r="M969" s="1225"/>
    </row>
    <row r="970" spans="1:15" x14ac:dyDescent="0.2">
      <c r="A970" s="103"/>
      <c r="B970" s="113"/>
      <c r="C970" s="122"/>
      <c r="D970" s="103"/>
      <c r="E970" s="250"/>
      <c r="F970" s="119"/>
      <c r="G970" s="99"/>
      <c r="H970" s="90" t="s">
        <v>78</v>
      </c>
      <c r="I970" s="160">
        <v>1130000</v>
      </c>
      <c r="J970" s="160"/>
      <c r="K970" s="160">
        <f t="shared" si="67"/>
        <v>1130000</v>
      </c>
    </row>
    <row r="971" spans="1:15" x14ac:dyDescent="0.2">
      <c r="A971" s="103"/>
      <c r="B971" s="113"/>
      <c r="C971" s="122"/>
      <c r="D971" s="103"/>
      <c r="E971" s="250"/>
      <c r="F971" s="119"/>
      <c r="G971" s="99"/>
      <c r="H971" s="90" t="s">
        <v>79</v>
      </c>
      <c r="I971" s="160">
        <v>7970000</v>
      </c>
      <c r="J971" s="160"/>
      <c r="K971" s="160">
        <f t="shared" si="67"/>
        <v>7970000</v>
      </c>
    </row>
    <row r="972" spans="1:15" x14ac:dyDescent="0.2">
      <c r="A972" s="103"/>
      <c r="B972" s="113"/>
      <c r="C972" s="122"/>
      <c r="D972" s="103"/>
      <c r="E972" s="250"/>
      <c r="F972" s="119"/>
      <c r="G972" s="99"/>
      <c r="H972" s="90" t="s">
        <v>80</v>
      </c>
      <c r="I972" s="1275">
        <v>3372000</v>
      </c>
      <c r="J972" s="160"/>
      <c r="K972" s="160">
        <f>SUM(I972+J972)</f>
        <v>3372000</v>
      </c>
    </row>
    <row r="973" spans="1:15" x14ac:dyDescent="0.2">
      <c r="A973" s="103"/>
      <c r="B973" s="113"/>
      <c r="C973" s="122"/>
      <c r="D973" s="103"/>
      <c r="E973" s="250"/>
      <c r="F973" s="119"/>
      <c r="G973" s="99"/>
      <c r="H973" s="89" t="s">
        <v>81</v>
      </c>
      <c r="I973" s="160">
        <v>18765000</v>
      </c>
      <c r="J973" s="160"/>
      <c r="K973" s="160">
        <f t="shared" ref="K973" si="68">SUM(I973+J973)</f>
        <v>18765000</v>
      </c>
    </row>
    <row r="974" spans="1:15" x14ac:dyDescent="0.2">
      <c r="A974" s="103"/>
      <c r="B974" s="113"/>
      <c r="C974" s="122"/>
      <c r="D974" s="103"/>
      <c r="E974" s="250"/>
      <c r="F974" s="119"/>
      <c r="G974" s="99"/>
      <c r="H974" s="90" t="s">
        <v>82</v>
      </c>
      <c r="I974" s="160">
        <v>850000</v>
      </c>
      <c r="J974" s="160"/>
      <c r="K974" s="160">
        <f>SUM(I974+J974)</f>
        <v>850000</v>
      </c>
    </row>
    <row r="975" spans="1:15" x14ac:dyDescent="0.2">
      <c r="A975" s="103"/>
      <c r="B975" s="113"/>
      <c r="C975" s="122"/>
      <c r="D975" s="103"/>
      <c r="E975" s="250"/>
      <c r="F975" s="119"/>
      <c r="G975" s="99"/>
      <c r="H975" s="90" t="s">
        <v>83</v>
      </c>
      <c r="I975" s="1275">
        <v>2475000</v>
      </c>
      <c r="J975" s="160"/>
      <c r="K975" s="160">
        <f t="shared" ref="K975:K983" si="69">SUM(I975+J975)</f>
        <v>2475000</v>
      </c>
    </row>
    <row r="976" spans="1:15" x14ac:dyDescent="0.2">
      <c r="A976" s="103"/>
      <c r="B976" s="113"/>
      <c r="C976" s="122"/>
      <c r="D976" s="103"/>
      <c r="E976" s="250"/>
      <c r="F976" s="119"/>
      <c r="G976" s="99"/>
      <c r="H976" s="90" t="s">
        <v>84</v>
      </c>
      <c r="I976" s="1275">
        <v>6480000</v>
      </c>
      <c r="J976" s="160"/>
      <c r="K976" s="160">
        <f t="shared" si="69"/>
        <v>6480000</v>
      </c>
    </row>
    <row r="977" spans="1:15" x14ac:dyDescent="0.2">
      <c r="A977" s="103"/>
      <c r="B977" s="113"/>
      <c r="C977" s="122"/>
      <c r="D977" s="103"/>
      <c r="E977" s="250"/>
      <c r="F977" s="119"/>
      <c r="G977" s="99"/>
      <c r="H977" s="90" t="s">
        <v>85</v>
      </c>
      <c r="I977" s="160">
        <v>4950000</v>
      </c>
      <c r="J977" s="160"/>
      <c r="K977" s="160">
        <f t="shared" si="69"/>
        <v>4950000</v>
      </c>
    </row>
    <row r="978" spans="1:15" x14ac:dyDescent="0.2">
      <c r="A978" s="103"/>
      <c r="B978" s="113"/>
      <c r="C978" s="122"/>
      <c r="D978" s="103"/>
      <c r="E978" s="250"/>
      <c r="F978" s="119"/>
      <c r="G978" s="99"/>
      <c r="H978" s="90" t="s">
        <v>86</v>
      </c>
      <c r="I978" s="160">
        <v>4290000</v>
      </c>
      <c r="J978" s="160"/>
      <c r="K978" s="160">
        <f t="shared" si="69"/>
        <v>4290000</v>
      </c>
    </row>
    <row r="979" spans="1:15" x14ac:dyDescent="0.2">
      <c r="A979" s="103"/>
      <c r="B979" s="113"/>
      <c r="C979" s="122"/>
      <c r="D979" s="103"/>
      <c r="E979" s="250"/>
      <c r="F979" s="119"/>
      <c r="G979" s="99"/>
      <c r="H979" s="90" t="s">
        <v>87</v>
      </c>
      <c r="I979" s="1275">
        <v>480000</v>
      </c>
      <c r="J979" s="160"/>
      <c r="K979" s="160">
        <f t="shared" si="69"/>
        <v>480000</v>
      </c>
    </row>
    <row r="980" spans="1:15" x14ac:dyDescent="0.2">
      <c r="A980" s="103"/>
      <c r="B980" s="113"/>
      <c r="C980" s="122"/>
      <c r="D980" s="103"/>
      <c r="E980" s="250"/>
      <c r="F980" s="119"/>
      <c r="G980" s="99"/>
      <c r="H980" s="90" t="s">
        <v>271</v>
      </c>
      <c r="I980" s="160">
        <v>550000</v>
      </c>
      <c r="J980" s="160"/>
      <c r="K980" s="160">
        <f t="shared" si="69"/>
        <v>550000</v>
      </c>
    </row>
    <row r="981" spans="1:15" x14ac:dyDescent="0.2">
      <c r="A981" s="103"/>
      <c r="B981" s="113"/>
      <c r="C981" s="122"/>
      <c r="D981" s="103"/>
      <c r="E981" s="250"/>
      <c r="F981" s="119"/>
      <c r="G981" s="99"/>
      <c r="H981" s="90" t="s">
        <v>88</v>
      </c>
      <c r="I981" s="1275">
        <v>543000</v>
      </c>
      <c r="J981" s="160"/>
      <c r="K981" s="160">
        <f t="shared" si="69"/>
        <v>543000</v>
      </c>
    </row>
    <row r="982" spans="1:15" x14ac:dyDescent="0.2">
      <c r="A982" s="103"/>
      <c r="B982" s="113"/>
      <c r="C982" s="122"/>
      <c r="D982" s="103"/>
      <c r="E982" s="250"/>
      <c r="F982" s="119"/>
      <c r="G982" s="99"/>
      <c r="H982" s="90" t="s">
        <v>89</v>
      </c>
      <c r="I982" s="160">
        <v>3710000</v>
      </c>
      <c r="J982" s="160"/>
      <c r="K982" s="160">
        <f t="shared" si="69"/>
        <v>3710000</v>
      </c>
    </row>
    <row r="983" spans="1:15" x14ac:dyDescent="0.2">
      <c r="A983" s="103"/>
      <c r="B983" s="113"/>
      <c r="C983" s="122"/>
      <c r="D983" s="103"/>
      <c r="E983" s="250"/>
      <c r="F983" s="121"/>
      <c r="G983" s="101"/>
      <c r="H983" s="90" t="s">
        <v>93</v>
      </c>
      <c r="I983" s="1275">
        <v>158000</v>
      </c>
      <c r="J983" s="160"/>
      <c r="K983" s="160">
        <f t="shared" si="69"/>
        <v>158000</v>
      </c>
    </row>
    <row r="984" spans="1:15" x14ac:dyDescent="0.2">
      <c r="A984" s="104"/>
      <c r="B984" s="114"/>
      <c r="C984" s="123"/>
      <c r="D984" s="104"/>
      <c r="E984" s="253"/>
      <c r="F984" s="42"/>
      <c r="G984" s="42"/>
      <c r="H984" s="97" t="s">
        <v>768</v>
      </c>
      <c r="I984" s="162">
        <f>SUM(I969:I983)</f>
        <v>56303000</v>
      </c>
      <c r="J984" s="162"/>
      <c r="K984" s="162">
        <f>SUM(K969:K983)</f>
        <v>56303000</v>
      </c>
    </row>
    <row r="985" spans="1:15" x14ac:dyDescent="0.2">
      <c r="A985" s="106"/>
      <c r="B985" s="375"/>
      <c r="C985" s="122"/>
      <c r="D985" s="106"/>
      <c r="E985" s="250"/>
      <c r="F985" s="1"/>
      <c r="G985" s="40"/>
      <c r="H985" s="50"/>
      <c r="I985" s="40"/>
      <c r="J985" s="40"/>
      <c r="K985" s="112"/>
    </row>
    <row r="986" spans="1:15" x14ac:dyDescent="0.2">
      <c r="A986" s="103"/>
      <c r="B986" s="113"/>
      <c r="C986" s="122"/>
      <c r="D986" s="103"/>
      <c r="E986" s="250"/>
      <c r="F986" s="1"/>
      <c r="G986" s="1"/>
      <c r="H986" s="138" t="s">
        <v>94</v>
      </c>
      <c r="I986" s="163"/>
      <c r="J986" s="163"/>
      <c r="K986" s="164"/>
    </row>
    <row r="987" spans="1:15" x14ac:dyDescent="0.2">
      <c r="A987" s="103"/>
      <c r="B987" s="113"/>
      <c r="C987" s="122"/>
      <c r="D987" s="103"/>
      <c r="E987" s="250"/>
      <c r="F987" s="1"/>
      <c r="G987" s="38" t="s">
        <v>39</v>
      </c>
      <c r="H987" s="90" t="s">
        <v>40</v>
      </c>
      <c r="I987" s="160">
        <f>SUM(I984)</f>
        <v>56303000</v>
      </c>
      <c r="J987" s="160"/>
      <c r="K987" s="160">
        <f>SUM(I987+J987)</f>
        <v>56303000</v>
      </c>
    </row>
    <row r="988" spans="1:15" x14ac:dyDescent="0.2">
      <c r="A988" s="104"/>
      <c r="B988" s="114"/>
      <c r="C988" s="123"/>
      <c r="D988" s="104"/>
      <c r="E988" s="253"/>
      <c r="F988" s="42"/>
      <c r="G988" s="43"/>
      <c r="H988" s="97" t="s">
        <v>95</v>
      </c>
      <c r="I988" s="162">
        <f>SUM(I987)</f>
        <v>56303000</v>
      </c>
      <c r="J988" s="162"/>
      <c r="K988" s="162">
        <f t="shared" ref="K988" si="70">SUM(K987)</f>
        <v>56303000</v>
      </c>
    </row>
    <row r="989" spans="1:15" x14ac:dyDescent="0.2">
      <c r="A989" s="103"/>
      <c r="B989" s="113"/>
      <c r="C989" s="122"/>
      <c r="D989" s="103"/>
      <c r="E989" s="250"/>
      <c r="F989" s="46"/>
      <c r="G989" s="64"/>
      <c r="H989" s="55"/>
      <c r="I989" s="59"/>
      <c r="J989" s="59"/>
      <c r="K989" s="373"/>
    </row>
    <row r="990" spans="1:15" s="642" customFormat="1" ht="15" x14ac:dyDescent="0.2">
      <c r="A990" s="94"/>
      <c r="B990" s="112"/>
      <c r="C990" s="111">
        <v>920</v>
      </c>
      <c r="D990" s="98"/>
      <c r="E990" s="128"/>
      <c r="F990" s="1"/>
      <c r="G990" s="1"/>
      <c r="H990" s="168" t="s">
        <v>92</v>
      </c>
      <c r="I990" s="1023"/>
      <c r="J990" s="1023"/>
      <c r="K990" s="1024"/>
      <c r="L990" s="27"/>
      <c r="M990" s="1223"/>
      <c r="N990" s="61"/>
      <c r="O990" s="61"/>
    </row>
    <row r="991" spans="1:15" s="642" customFormat="1" x14ac:dyDescent="0.2">
      <c r="A991" s="99"/>
      <c r="B991" s="111"/>
      <c r="C991" s="119"/>
      <c r="D991" s="99"/>
      <c r="E991" s="176"/>
      <c r="F991" s="1"/>
      <c r="G991" s="38"/>
      <c r="H991" s="44"/>
      <c r="I991" s="47"/>
      <c r="J991" s="863"/>
      <c r="K991" s="864"/>
      <c r="L991" s="27"/>
      <c r="M991" s="1223"/>
      <c r="N991" s="61"/>
      <c r="O991" s="61"/>
    </row>
    <row r="992" spans="1:15" s="642" customFormat="1" ht="22.5" x14ac:dyDescent="0.2">
      <c r="A992" s="94"/>
      <c r="B992" s="112"/>
      <c r="C992" s="111"/>
      <c r="D992" s="98"/>
      <c r="E992" s="128">
        <v>2003</v>
      </c>
      <c r="F992" s="46"/>
      <c r="G992" s="64"/>
      <c r="H992" s="1299" t="s">
        <v>940</v>
      </c>
      <c r="I992" s="190"/>
      <c r="J992" s="190"/>
      <c r="K992" s="244"/>
      <c r="L992" s="27"/>
      <c r="M992" s="1223"/>
      <c r="N992" s="61"/>
      <c r="O992" s="61"/>
    </row>
    <row r="993" spans="1:15" s="642" customFormat="1" x14ac:dyDescent="0.2">
      <c r="A993" s="94"/>
      <c r="B993" s="112"/>
      <c r="C993" s="111"/>
      <c r="D993" s="98"/>
      <c r="E993" s="128"/>
      <c r="F993" s="215">
        <v>177</v>
      </c>
      <c r="G993" s="275">
        <v>463</v>
      </c>
      <c r="H993" s="1300" t="s">
        <v>278</v>
      </c>
      <c r="I993" s="1301">
        <f>SUM(I994:I995)</f>
        <v>4810651.05</v>
      </c>
      <c r="J993" s="1301"/>
      <c r="K993" s="1301">
        <f>SUM(I993:J993)</f>
        <v>4810651.05</v>
      </c>
      <c r="L993" s="26"/>
      <c r="M993" s="1223"/>
      <c r="N993" s="61"/>
      <c r="O993" s="61"/>
    </row>
    <row r="994" spans="1:15" s="642" customFormat="1" x14ac:dyDescent="0.2">
      <c r="A994" s="94"/>
      <c r="B994" s="112"/>
      <c r="C994" s="111"/>
      <c r="D994" s="98"/>
      <c r="E994" s="128"/>
      <c r="F994" s="46"/>
      <c r="G994" s="46"/>
      <c r="H994" s="1302" t="s">
        <v>88</v>
      </c>
      <c r="I994" s="1275">
        <v>3633571.05</v>
      </c>
      <c r="J994" s="1301"/>
      <c r="K994" s="1275">
        <f t="shared" ref="K994:K998" si="71">SUM(I994:J994)</f>
        <v>3633571.05</v>
      </c>
      <c r="L994" s="27"/>
      <c r="M994" s="1223"/>
      <c r="N994" s="61"/>
      <c r="O994" s="61"/>
    </row>
    <row r="995" spans="1:15" s="642" customFormat="1" x14ac:dyDescent="0.2">
      <c r="A995" s="94"/>
      <c r="B995" s="112"/>
      <c r="C995" s="111"/>
      <c r="D995" s="98"/>
      <c r="E995" s="128"/>
      <c r="F995" s="46"/>
      <c r="G995" s="46"/>
      <c r="H995" s="1302" t="s">
        <v>89</v>
      </c>
      <c r="I995" s="1275">
        <v>1177080</v>
      </c>
      <c r="J995" s="1301"/>
      <c r="K995" s="1275">
        <f t="shared" si="71"/>
        <v>1177080</v>
      </c>
      <c r="L995" s="27"/>
      <c r="M995" s="1223"/>
      <c r="N995" s="61"/>
      <c r="O995" s="61"/>
    </row>
    <row r="996" spans="1:15" s="642" customFormat="1" x14ac:dyDescent="0.2">
      <c r="A996" s="94"/>
      <c r="B996" s="112"/>
      <c r="C996" s="111"/>
      <c r="D996" s="98"/>
      <c r="E996" s="128"/>
      <c r="F996" s="46"/>
      <c r="G996" s="64" t="s">
        <v>39</v>
      </c>
      <c r="H996" s="1302" t="s">
        <v>40</v>
      </c>
      <c r="I996" s="1275">
        <f>SUM(I993-I997)</f>
        <v>1414790.25</v>
      </c>
      <c r="J996" s="1301"/>
      <c r="K996" s="1275">
        <f t="shared" si="71"/>
        <v>1414790.25</v>
      </c>
      <c r="L996" s="27"/>
      <c r="M996" s="1223"/>
      <c r="N996" s="61"/>
      <c r="O996" s="61"/>
    </row>
    <row r="997" spans="1:15" s="642" customFormat="1" x14ac:dyDescent="0.2">
      <c r="A997" s="94"/>
      <c r="B997" s="112"/>
      <c r="C997" s="111"/>
      <c r="D997" s="98"/>
      <c r="E997" s="128"/>
      <c r="F997" s="46"/>
      <c r="G997" s="64" t="s">
        <v>157</v>
      </c>
      <c r="H997" s="1302" t="s">
        <v>354</v>
      </c>
      <c r="I997" s="1275">
        <v>3395860.8</v>
      </c>
      <c r="J997" s="1301"/>
      <c r="K997" s="1275">
        <f t="shared" si="71"/>
        <v>3395860.8</v>
      </c>
      <c r="L997" s="27"/>
      <c r="M997" s="1223"/>
      <c r="N997" s="61"/>
      <c r="O997" s="61"/>
    </row>
    <row r="998" spans="1:15" s="642" customFormat="1" x14ac:dyDescent="0.2">
      <c r="A998" s="583"/>
      <c r="B998" s="926"/>
      <c r="C998" s="781"/>
      <c r="D998" s="780"/>
      <c r="E998" s="249"/>
      <c r="F998" s="49"/>
      <c r="G998" s="1303"/>
      <c r="H998" s="1304" t="s">
        <v>350</v>
      </c>
      <c r="I998" s="1271">
        <f>SUM(I993)</f>
        <v>4810651.05</v>
      </c>
      <c r="J998" s="1271"/>
      <c r="K998" s="1301">
        <f t="shared" si="71"/>
        <v>4810651.05</v>
      </c>
      <c r="L998" s="27"/>
      <c r="M998" s="1223"/>
      <c r="N998" s="61"/>
      <c r="O998" s="61"/>
    </row>
    <row r="999" spans="1:15" s="642" customFormat="1" x14ac:dyDescent="0.2">
      <c r="A999" s="99"/>
      <c r="B999" s="111"/>
      <c r="C999" s="119"/>
      <c r="D999" s="99"/>
      <c r="E999" s="176"/>
      <c r="F999" s="1"/>
      <c r="G999" s="38"/>
      <c r="H999" s="44"/>
      <c r="I999" s="863"/>
      <c r="J999" s="863"/>
      <c r="K999" s="864"/>
      <c r="L999" s="27"/>
      <c r="M999" s="1223"/>
      <c r="N999" s="61"/>
      <c r="O999" s="61"/>
    </row>
    <row r="1000" spans="1:15" s="642" customFormat="1" x14ac:dyDescent="0.2">
      <c r="A1000" s="938"/>
      <c r="B1000" s="939"/>
      <c r="C1000" s="940"/>
      <c r="D1000" s="1056">
        <v>1501</v>
      </c>
      <c r="E1000" s="942"/>
      <c r="F1000" s="943"/>
      <c r="G1000" s="944"/>
      <c r="H1000" s="220" t="s">
        <v>359</v>
      </c>
      <c r="I1000" s="817">
        <f>SUM(I1011)</f>
        <v>6670000</v>
      </c>
      <c r="J1000" s="817"/>
      <c r="K1000" s="818">
        <f>SUM(K1011)</f>
        <v>6670000</v>
      </c>
      <c r="L1000" s="887"/>
      <c r="M1000" s="1223"/>
      <c r="N1000" s="61"/>
      <c r="O1000" s="61"/>
    </row>
    <row r="1001" spans="1:15" s="642" customFormat="1" x14ac:dyDescent="0.2">
      <c r="A1001" s="1010"/>
      <c r="B1001" s="1011"/>
      <c r="C1001" s="1012"/>
      <c r="D1001" s="1013"/>
      <c r="E1001" s="1014"/>
      <c r="F1001" s="1015"/>
      <c r="G1001" s="1016"/>
      <c r="H1001" s="1057"/>
      <c r="I1001" s="865"/>
      <c r="J1001" s="865"/>
      <c r="K1001" s="866"/>
      <c r="L1001" s="887"/>
      <c r="M1001" s="1223"/>
      <c r="N1001" s="61"/>
      <c r="O1001" s="61"/>
    </row>
    <row r="1002" spans="1:15" s="642" customFormat="1" x14ac:dyDescent="0.2">
      <c r="A1002" s="94"/>
      <c r="B1002" s="112"/>
      <c r="C1002" s="111"/>
      <c r="D1002" s="98"/>
      <c r="E1002" s="128"/>
      <c r="F1002" s="1"/>
      <c r="G1002" s="38"/>
      <c r="H1002" s="136" t="s">
        <v>334</v>
      </c>
      <c r="I1002" s="829"/>
      <c r="J1002" s="829"/>
      <c r="K1002" s="830"/>
      <c r="L1002" s="27"/>
      <c r="M1002" s="1223"/>
      <c r="N1002" s="61"/>
      <c r="O1002" s="61"/>
    </row>
    <row r="1003" spans="1:15" s="642" customFormat="1" x14ac:dyDescent="0.2">
      <c r="A1003" s="94"/>
      <c r="B1003" s="112"/>
      <c r="C1003" s="111"/>
      <c r="D1003" s="98"/>
      <c r="E1003" s="128" t="s">
        <v>326</v>
      </c>
      <c r="F1003" s="39"/>
      <c r="G1003" s="38"/>
      <c r="H1003" s="1058" t="s">
        <v>550</v>
      </c>
      <c r="I1003" s="883"/>
      <c r="J1003" s="883"/>
      <c r="K1003" s="884"/>
      <c r="L1003" s="27"/>
      <c r="M1003" s="1223"/>
      <c r="N1003" s="61"/>
      <c r="O1003" s="61"/>
    </row>
    <row r="1004" spans="1:15" s="364" customFormat="1" x14ac:dyDescent="0.2">
      <c r="A1004" s="106"/>
      <c r="B1004" s="375"/>
      <c r="C1004" s="113"/>
      <c r="D1004" s="359"/>
      <c r="E1004" s="213"/>
      <c r="F1004" s="46"/>
      <c r="G1004" s="64"/>
      <c r="H1004" s="70"/>
      <c r="I1004" s="229"/>
      <c r="J1004" s="229"/>
      <c r="K1004" s="384"/>
      <c r="L1004" s="26"/>
      <c r="M1004" s="1224"/>
      <c r="N1004" s="363"/>
      <c r="O1004" s="363"/>
    </row>
    <row r="1005" spans="1:15" s="893" customFormat="1" x14ac:dyDescent="0.2">
      <c r="A1005" s="94"/>
      <c r="B1005" s="112"/>
      <c r="C1005" s="111">
        <v>950</v>
      </c>
      <c r="D1005" s="98"/>
      <c r="E1005" s="128"/>
      <c r="F1005" s="1"/>
      <c r="G1005" s="38"/>
      <c r="H1005" s="1026" t="s">
        <v>96</v>
      </c>
      <c r="I1005" s="1059"/>
      <c r="J1005" s="1059"/>
      <c r="K1005" s="1060"/>
      <c r="L1005" s="27"/>
      <c r="M1005" s="1224"/>
      <c r="N1005" s="892"/>
      <c r="O1005" s="892"/>
    </row>
    <row r="1006" spans="1:15" s="642" customFormat="1" x14ac:dyDescent="0.2">
      <c r="A1006" s="94"/>
      <c r="B1006" s="112"/>
      <c r="C1006" s="111"/>
      <c r="D1006" s="98"/>
      <c r="E1006" s="128"/>
      <c r="F1006" s="1"/>
      <c r="G1006" s="38"/>
      <c r="H1006" s="29"/>
      <c r="I1006" s="906"/>
      <c r="J1006" s="906"/>
      <c r="K1006" s="907"/>
      <c r="L1006" s="27"/>
      <c r="M1006" s="1223"/>
      <c r="N1006" s="61"/>
      <c r="O1006" s="61"/>
    </row>
    <row r="1007" spans="1:15" s="642" customFormat="1" ht="22.5" x14ac:dyDescent="0.2">
      <c r="A1007" s="99"/>
      <c r="B1007" s="111"/>
      <c r="C1007" s="978"/>
      <c r="D1007" s="99"/>
      <c r="E1007" s="176"/>
      <c r="F1007" s="124">
        <v>178</v>
      </c>
      <c r="G1007" s="154" t="s">
        <v>104</v>
      </c>
      <c r="H1007" s="17" t="s">
        <v>395</v>
      </c>
      <c r="I1007" s="133">
        <v>6670000</v>
      </c>
      <c r="J1007" s="133"/>
      <c r="K1007" s="133">
        <f>SUM(I1007+J1007)</f>
        <v>6670000</v>
      </c>
      <c r="L1007" s="27"/>
      <c r="M1007" s="1223"/>
      <c r="N1007" s="61"/>
      <c r="O1007" s="61"/>
    </row>
    <row r="1008" spans="1:15" s="642" customFormat="1" ht="15" x14ac:dyDescent="0.2">
      <c r="A1008" s="101"/>
      <c r="B1008" s="781"/>
      <c r="C1008" s="972"/>
      <c r="D1008" s="101"/>
      <c r="E1008" s="177"/>
      <c r="F1008" s="42"/>
      <c r="G1008" s="43"/>
      <c r="H1008" s="97" t="s">
        <v>774</v>
      </c>
      <c r="I1008" s="170">
        <f>SUM(I1007)</f>
        <v>6670000</v>
      </c>
      <c r="J1008" s="170"/>
      <c r="K1008" s="170">
        <f t="shared" ref="K1008" si="72">SUM(K1007)</f>
        <v>6670000</v>
      </c>
      <c r="L1008" s="27"/>
      <c r="M1008" s="1223"/>
      <c r="N1008" s="61"/>
      <c r="O1008" s="61"/>
    </row>
    <row r="1009" spans="1:15" s="642" customFormat="1" ht="15" x14ac:dyDescent="0.2">
      <c r="A1009" s="99"/>
      <c r="B1009" s="111"/>
      <c r="C1009" s="978"/>
      <c r="D1009" s="99"/>
      <c r="E1009" s="176"/>
      <c r="F1009" s="1"/>
      <c r="G1009" s="1"/>
      <c r="H1009" s="138" t="s">
        <v>102</v>
      </c>
      <c r="I1009" s="859"/>
      <c r="J1009" s="859"/>
      <c r="K1009" s="860"/>
      <c r="L1009" s="27"/>
      <c r="M1009" s="1223"/>
      <c r="N1009" s="61"/>
      <c r="O1009" s="61"/>
    </row>
    <row r="1010" spans="1:15" s="642" customFormat="1" ht="15" x14ac:dyDescent="0.2">
      <c r="A1010" s="99"/>
      <c r="B1010" s="111"/>
      <c r="C1010" s="978"/>
      <c r="D1010" s="99"/>
      <c r="E1010" s="176"/>
      <c r="F1010" s="1"/>
      <c r="G1010" s="38" t="s">
        <v>39</v>
      </c>
      <c r="H1010" s="90" t="s">
        <v>40</v>
      </c>
      <c r="I1010" s="133">
        <f>SUM(I1008)</f>
        <v>6670000</v>
      </c>
      <c r="J1010" s="133"/>
      <c r="K1010" s="133">
        <f>SUM(I1010+J1010)</f>
        <v>6670000</v>
      </c>
      <c r="L1010" s="27"/>
      <c r="M1010" s="1223"/>
      <c r="N1010" s="61"/>
      <c r="O1010" s="61"/>
    </row>
    <row r="1011" spans="1:15" s="642" customFormat="1" ht="15" x14ac:dyDescent="0.2">
      <c r="A1011" s="101"/>
      <c r="B1011" s="781"/>
      <c r="C1011" s="972"/>
      <c r="D1011" s="101"/>
      <c r="E1011" s="177"/>
      <c r="F1011" s="42"/>
      <c r="G1011" s="43"/>
      <c r="H1011" s="97" t="s">
        <v>103</v>
      </c>
      <c r="I1011" s="170">
        <f>SUM(I1010)</f>
        <v>6670000</v>
      </c>
      <c r="J1011" s="170"/>
      <c r="K1011" s="170">
        <f>SUM(K1010)</f>
        <v>6670000</v>
      </c>
      <c r="L1011" s="27"/>
      <c r="M1011" s="1223"/>
      <c r="N1011" s="61"/>
      <c r="O1011" s="61"/>
    </row>
    <row r="1012" spans="1:15" s="642" customFormat="1" x14ac:dyDescent="0.2">
      <c r="A1012" s="99"/>
      <c r="B1012" s="111"/>
      <c r="C1012" s="119"/>
      <c r="D1012" s="99"/>
      <c r="E1012" s="176"/>
      <c r="F1012" s="1"/>
      <c r="G1012" s="38"/>
      <c r="H1012" s="44"/>
      <c r="I1012" s="863"/>
      <c r="J1012" s="863"/>
      <c r="K1012" s="864"/>
      <c r="L1012" s="27"/>
      <c r="M1012" s="1223"/>
      <c r="N1012" s="61"/>
      <c r="O1012" s="61"/>
    </row>
    <row r="1013" spans="1:15" s="642" customFormat="1" x14ac:dyDescent="0.2">
      <c r="A1013" s="788"/>
      <c r="B1013" s="789"/>
      <c r="C1013" s="790"/>
      <c r="D1013" s="912">
        <v>1201</v>
      </c>
      <c r="E1013" s="148"/>
      <c r="F1013" s="134"/>
      <c r="G1013" s="135"/>
      <c r="H1013" s="220" t="s">
        <v>723</v>
      </c>
      <c r="I1013" s="817">
        <f>SUM(I1062+I1116+I1123+I1133)</f>
        <v>79245301</v>
      </c>
      <c r="J1013" s="817">
        <f>SUM(J1062+J1116+J1123+J1133)</f>
        <v>16056800</v>
      </c>
      <c r="K1013" s="818">
        <f>SUM(K1062+K1116+K1123+K1133)</f>
        <v>95302101</v>
      </c>
      <c r="L1013" s="887"/>
      <c r="M1013" s="1223"/>
      <c r="N1013" s="61"/>
      <c r="O1013" s="61"/>
    </row>
    <row r="1014" spans="1:15" s="642" customFormat="1" x14ac:dyDescent="0.2">
      <c r="A1014" s="94"/>
      <c r="B1014" s="111"/>
      <c r="C1014" s="111"/>
      <c r="D1014" s="98"/>
      <c r="E1014" s="128"/>
      <c r="F1014" s="1"/>
      <c r="G1014" s="1"/>
      <c r="H1014" s="1061"/>
      <c r="I1014" s="807"/>
      <c r="J1014" s="807"/>
      <c r="K1014" s="808"/>
      <c r="L1014" s="27"/>
      <c r="M1014" s="1223"/>
      <c r="N1014" s="61"/>
      <c r="O1014" s="61"/>
    </row>
    <row r="1015" spans="1:15" s="642" customFormat="1" x14ac:dyDescent="0.2">
      <c r="A1015" s="94"/>
      <c r="B1015" s="112"/>
      <c r="C1015" s="111">
        <v>820</v>
      </c>
      <c r="D1015" s="98"/>
      <c r="E1015" s="128"/>
      <c r="F1015" s="1"/>
      <c r="G1015" s="40"/>
      <c r="H1015" s="168" t="s">
        <v>105</v>
      </c>
      <c r="I1015" s="859"/>
      <c r="J1015" s="859"/>
      <c r="K1015" s="860"/>
      <c r="L1015" s="27"/>
      <c r="M1015" s="1223"/>
      <c r="N1015" s="61"/>
      <c r="O1015" s="61"/>
    </row>
    <row r="1016" spans="1:15" s="642" customFormat="1" x14ac:dyDescent="0.2">
      <c r="A1016" s="94"/>
      <c r="B1016" s="112"/>
      <c r="C1016" s="111"/>
      <c r="D1016" s="98"/>
      <c r="E1016" s="128"/>
      <c r="F1016" s="1"/>
      <c r="G1016" s="40"/>
      <c r="H1016" s="56"/>
      <c r="I1016" s="807"/>
      <c r="J1016" s="807"/>
      <c r="K1016" s="808"/>
      <c r="L1016" s="27"/>
      <c r="M1016" s="1223"/>
      <c r="N1016" s="61"/>
      <c r="O1016" s="61"/>
    </row>
    <row r="1017" spans="1:15" s="893" customFormat="1" x14ac:dyDescent="0.2">
      <c r="A1017" s="94"/>
      <c r="B1017" s="111">
        <v>4</v>
      </c>
      <c r="C1017" s="119"/>
      <c r="D1017" s="94"/>
      <c r="E1017" s="176"/>
      <c r="F1017" s="39"/>
      <c r="G1017" s="39"/>
      <c r="H1017" s="168" t="s">
        <v>106</v>
      </c>
      <c r="I1017" s="859"/>
      <c r="J1017" s="859"/>
      <c r="K1017" s="860"/>
      <c r="L1017" s="27"/>
      <c r="M1017" s="1224"/>
      <c r="N1017" s="892"/>
      <c r="O1017" s="892"/>
    </row>
    <row r="1018" spans="1:15" s="642" customFormat="1" x14ac:dyDescent="0.2">
      <c r="A1018" s="94"/>
      <c r="B1018" s="111"/>
      <c r="C1018" s="119"/>
      <c r="D1018" s="94"/>
      <c r="E1018" s="176"/>
      <c r="F1018" s="39"/>
      <c r="G1018" s="39"/>
      <c r="H1018" s="56"/>
      <c r="I1018" s="807"/>
      <c r="J1018" s="807"/>
      <c r="K1018" s="808"/>
      <c r="L1018" s="27"/>
      <c r="M1018" s="1223"/>
      <c r="N1018" s="61"/>
      <c r="O1018" s="61"/>
    </row>
    <row r="1019" spans="1:15" s="642" customFormat="1" x14ac:dyDescent="0.2">
      <c r="A1019" s="94"/>
      <c r="B1019" s="111"/>
      <c r="C1019" s="119"/>
      <c r="D1019" s="94"/>
      <c r="E1019" s="128"/>
      <c r="F1019" s="1"/>
      <c r="G1019" s="38"/>
      <c r="H1019" s="136" t="s">
        <v>334</v>
      </c>
      <c r="I1019" s="995"/>
      <c r="J1019" s="995"/>
      <c r="K1019" s="488"/>
      <c r="L1019" s="27"/>
      <c r="M1019" s="1223"/>
      <c r="N1019" s="61"/>
      <c r="O1019" s="61"/>
    </row>
    <row r="1020" spans="1:15" s="642" customFormat="1" x14ac:dyDescent="0.2">
      <c r="A1020" s="94"/>
      <c r="B1020" s="948"/>
      <c r="C1020" s="111"/>
      <c r="D1020" s="98"/>
      <c r="E1020" s="128" t="s">
        <v>291</v>
      </c>
      <c r="F1020" s="1"/>
      <c r="G1020" s="38"/>
      <c r="H1020" s="137" t="s">
        <v>292</v>
      </c>
      <c r="I1020" s="833"/>
      <c r="J1020" s="833"/>
      <c r="K1020" s="492"/>
      <c r="L1020" s="27"/>
      <c r="M1020" s="1223"/>
      <c r="N1020" s="61"/>
      <c r="O1020" s="61"/>
    </row>
    <row r="1021" spans="1:15" s="642" customFormat="1" x14ac:dyDescent="0.2">
      <c r="A1021" s="94"/>
      <c r="B1021" s="948"/>
      <c r="C1021" s="111"/>
      <c r="D1021" s="98"/>
      <c r="E1021" s="128"/>
      <c r="F1021" s="1"/>
      <c r="G1021" s="38"/>
      <c r="H1021" s="44"/>
      <c r="I1021" s="807"/>
      <c r="J1021" s="807"/>
      <c r="K1021" s="808"/>
      <c r="L1021" s="27"/>
      <c r="M1021" s="1223"/>
      <c r="N1021" s="61"/>
      <c r="O1021" s="61"/>
    </row>
    <row r="1022" spans="1:15" s="642" customFormat="1" x14ac:dyDescent="0.2">
      <c r="A1022" s="94"/>
      <c r="B1022" s="112"/>
      <c r="C1022" s="119"/>
      <c r="D1022" s="99"/>
      <c r="E1022" s="176"/>
      <c r="F1022" s="124">
        <v>179</v>
      </c>
      <c r="G1022" s="95">
        <v>411</v>
      </c>
      <c r="H1022" s="90" t="s">
        <v>2</v>
      </c>
      <c r="I1022" s="1062">
        <v>11144190</v>
      </c>
      <c r="J1022" s="160"/>
      <c r="K1022" s="160">
        <f t="shared" ref="K1022:K1038" si="73">SUM(I1022+J1022)</f>
        <v>11144190</v>
      </c>
      <c r="L1022" s="26"/>
      <c r="M1022" s="1223"/>
      <c r="N1022" s="61"/>
      <c r="O1022" s="61"/>
    </row>
    <row r="1023" spans="1:15" s="642" customFormat="1" x14ac:dyDescent="0.2">
      <c r="A1023" s="94"/>
      <c r="B1023" s="112"/>
      <c r="C1023" s="119"/>
      <c r="D1023" s="99"/>
      <c r="E1023" s="176"/>
      <c r="F1023" s="124">
        <v>180</v>
      </c>
      <c r="G1023" s="95">
        <v>412</v>
      </c>
      <c r="H1023" s="89" t="s">
        <v>3</v>
      </c>
      <c r="I1023" s="1062">
        <v>1994810</v>
      </c>
      <c r="J1023" s="160"/>
      <c r="K1023" s="160">
        <f t="shared" si="73"/>
        <v>1994810</v>
      </c>
      <c r="L1023" s="26"/>
      <c r="M1023" s="1223"/>
      <c r="N1023" s="61"/>
      <c r="O1023" s="61"/>
    </row>
    <row r="1024" spans="1:15" s="642" customFormat="1" x14ac:dyDescent="0.2">
      <c r="A1024" s="94"/>
      <c r="B1024" s="112"/>
      <c r="C1024" s="119"/>
      <c r="D1024" s="99"/>
      <c r="E1024" s="176"/>
      <c r="F1024" s="124">
        <v>181</v>
      </c>
      <c r="G1024" s="95">
        <v>413</v>
      </c>
      <c r="H1024" s="89" t="s">
        <v>34</v>
      </c>
      <c r="I1024" s="160">
        <v>100000</v>
      </c>
      <c r="J1024" s="160">
        <v>50000</v>
      </c>
      <c r="K1024" s="160">
        <f t="shared" si="73"/>
        <v>150000</v>
      </c>
      <c r="L1024" s="27"/>
      <c r="M1024" s="1223"/>
      <c r="N1024" s="61"/>
      <c r="O1024" s="61"/>
    </row>
    <row r="1025" spans="1:15" s="642" customFormat="1" x14ac:dyDescent="0.2">
      <c r="A1025" s="94"/>
      <c r="B1025" s="112"/>
      <c r="C1025" s="119"/>
      <c r="D1025" s="99"/>
      <c r="E1025" s="176"/>
      <c r="F1025" s="124">
        <v>182</v>
      </c>
      <c r="G1025" s="95">
        <v>414</v>
      </c>
      <c r="H1025" s="90" t="s">
        <v>35</v>
      </c>
      <c r="I1025" s="160">
        <v>800000</v>
      </c>
      <c r="J1025" s="160">
        <v>800000</v>
      </c>
      <c r="K1025" s="160">
        <f t="shared" si="73"/>
        <v>1600000</v>
      </c>
      <c r="L1025" s="27"/>
      <c r="M1025" s="1223"/>
      <c r="N1025" s="61"/>
      <c r="O1025" s="61"/>
    </row>
    <row r="1026" spans="1:15" s="642" customFormat="1" x14ac:dyDescent="0.2">
      <c r="A1026" s="94"/>
      <c r="B1026" s="112"/>
      <c r="C1026" s="119"/>
      <c r="D1026" s="99"/>
      <c r="E1026" s="176"/>
      <c r="F1026" s="124">
        <v>183</v>
      </c>
      <c r="G1026" s="95">
        <v>415</v>
      </c>
      <c r="H1026" s="89" t="s">
        <v>5</v>
      </c>
      <c r="I1026" s="160">
        <v>600000</v>
      </c>
      <c r="J1026" s="160"/>
      <c r="K1026" s="160">
        <f t="shared" si="73"/>
        <v>600000</v>
      </c>
      <c r="L1026" s="27"/>
      <c r="M1026" s="1223"/>
      <c r="N1026" s="61"/>
      <c r="O1026" s="61"/>
    </row>
    <row r="1027" spans="1:15" s="642" customFormat="1" x14ac:dyDescent="0.2">
      <c r="A1027" s="94"/>
      <c r="B1027" s="112"/>
      <c r="C1027" s="119"/>
      <c r="D1027" s="99"/>
      <c r="E1027" s="176"/>
      <c r="F1027" s="124">
        <v>184</v>
      </c>
      <c r="G1027" s="95">
        <v>416</v>
      </c>
      <c r="H1027" s="89" t="s">
        <v>6</v>
      </c>
      <c r="I1027" s="160">
        <v>1300000</v>
      </c>
      <c r="J1027" s="160"/>
      <c r="K1027" s="160">
        <f t="shared" si="73"/>
        <v>1300000</v>
      </c>
      <c r="L1027" s="27"/>
      <c r="M1027" s="1223"/>
      <c r="N1027" s="61"/>
      <c r="O1027" s="61"/>
    </row>
    <row r="1028" spans="1:15" s="642" customFormat="1" x14ac:dyDescent="0.2">
      <c r="A1028" s="94"/>
      <c r="B1028" s="112"/>
      <c r="C1028" s="119"/>
      <c r="D1028" s="99"/>
      <c r="E1028" s="176"/>
      <c r="F1028" s="124">
        <v>185</v>
      </c>
      <c r="G1028" s="95">
        <v>421</v>
      </c>
      <c r="H1028" s="89" t="s">
        <v>7</v>
      </c>
      <c r="I1028" s="160">
        <v>1520000</v>
      </c>
      <c r="J1028" s="160">
        <v>20000</v>
      </c>
      <c r="K1028" s="160">
        <f t="shared" si="73"/>
        <v>1540000</v>
      </c>
      <c r="L1028" s="27"/>
      <c r="M1028" s="1223"/>
      <c r="N1028" s="61"/>
      <c r="O1028" s="61"/>
    </row>
    <row r="1029" spans="1:15" s="642" customFormat="1" x14ac:dyDescent="0.2">
      <c r="A1029" s="94"/>
      <c r="B1029" s="112"/>
      <c r="C1029" s="119"/>
      <c r="D1029" s="99"/>
      <c r="E1029" s="176"/>
      <c r="F1029" s="124">
        <v>186</v>
      </c>
      <c r="G1029" s="95">
        <v>422</v>
      </c>
      <c r="H1029" s="90" t="s">
        <v>8</v>
      </c>
      <c r="I1029" s="160">
        <v>250000</v>
      </c>
      <c r="J1029" s="160">
        <v>50000</v>
      </c>
      <c r="K1029" s="160">
        <f t="shared" si="73"/>
        <v>300000</v>
      </c>
      <c r="L1029" s="27"/>
      <c r="M1029" s="1223"/>
      <c r="N1029" s="61"/>
      <c r="O1029" s="61"/>
    </row>
    <row r="1030" spans="1:15" s="642" customFormat="1" x14ac:dyDescent="0.2">
      <c r="A1030" s="94"/>
      <c r="B1030" s="112"/>
      <c r="C1030" s="119"/>
      <c r="D1030" s="99"/>
      <c r="E1030" s="176"/>
      <c r="F1030" s="124">
        <v>187</v>
      </c>
      <c r="G1030" s="95">
        <v>424</v>
      </c>
      <c r="H1030" s="90" t="s">
        <v>10</v>
      </c>
      <c r="I1030" s="160">
        <v>500000</v>
      </c>
      <c r="J1030" s="160"/>
      <c r="K1030" s="160">
        <f t="shared" si="73"/>
        <v>500000</v>
      </c>
      <c r="L1030" s="27"/>
      <c r="M1030" s="1223"/>
      <c r="N1030" s="61"/>
      <c r="O1030" s="61"/>
    </row>
    <row r="1031" spans="1:15" s="642" customFormat="1" x14ac:dyDescent="0.2">
      <c r="A1031" s="94"/>
      <c r="B1031" s="112"/>
      <c r="C1031" s="119"/>
      <c r="D1031" s="99"/>
      <c r="E1031" s="176"/>
      <c r="F1031" s="124">
        <v>188</v>
      </c>
      <c r="G1031" s="95">
        <v>425</v>
      </c>
      <c r="H1031" s="90" t="s">
        <v>11</v>
      </c>
      <c r="I1031" s="160">
        <v>600000</v>
      </c>
      <c r="J1031" s="160">
        <v>60000</v>
      </c>
      <c r="K1031" s="160">
        <f t="shared" si="73"/>
        <v>660000</v>
      </c>
      <c r="L1031" s="27"/>
      <c r="M1031" s="1223"/>
      <c r="N1031" s="61"/>
      <c r="O1031" s="61"/>
    </row>
    <row r="1032" spans="1:15" s="642" customFormat="1" x14ac:dyDescent="0.2">
      <c r="A1032" s="94"/>
      <c r="B1032" s="112"/>
      <c r="C1032" s="119"/>
      <c r="D1032" s="99"/>
      <c r="E1032" s="176"/>
      <c r="F1032" s="124">
        <v>189</v>
      </c>
      <c r="G1032" s="95">
        <v>426</v>
      </c>
      <c r="H1032" s="90" t="s">
        <v>36</v>
      </c>
      <c r="I1032" s="160">
        <v>1000000</v>
      </c>
      <c r="J1032" s="160">
        <v>280000</v>
      </c>
      <c r="K1032" s="160">
        <f t="shared" si="73"/>
        <v>1280000</v>
      </c>
      <c r="L1032" s="27"/>
      <c r="M1032" s="1223"/>
      <c r="N1032" s="61"/>
      <c r="O1032" s="61"/>
    </row>
    <row r="1033" spans="1:15" s="642" customFormat="1" x14ac:dyDescent="0.2">
      <c r="A1033" s="94"/>
      <c r="B1033" s="112"/>
      <c r="C1033" s="119"/>
      <c r="D1033" s="99"/>
      <c r="E1033" s="176"/>
      <c r="F1033" s="124">
        <v>190</v>
      </c>
      <c r="G1033" s="95">
        <v>441</v>
      </c>
      <c r="H1033" s="90" t="s">
        <v>13</v>
      </c>
      <c r="I1033" s="160">
        <v>500000</v>
      </c>
      <c r="J1033" s="160"/>
      <c r="K1033" s="160">
        <f t="shared" si="73"/>
        <v>500000</v>
      </c>
      <c r="L1033" s="27"/>
      <c r="M1033" s="1223"/>
      <c r="N1033" s="61"/>
      <c r="O1033" s="61"/>
    </row>
    <row r="1034" spans="1:15" s="642" customFormat="1" x14ac:dyDescent="0.2">
      <c r="A1034" s="94"/>
      <c r="B1034" s="112"/>
      <c r="C1034" s="119"/>
      <c r="D1034" s="99"/>
      <c r="E1034" s="176"/>
      <c r="F1034" s="124">
        <v>191</v>
      </c>
      <c r="G1034" s="95">
        <v>444</v>
      </c>
      <c r="H1034" s="90" t="s">
        <v>14</v>
      </c>
      <c r="I1034" s="160">
        <v>300000</v>
      </c>
      <c r="J1034" s="160"/>
      <c r="K1034" s="160">
        <f t="shared" si="73"/>
        <v>300000</v>
      </c>
      <c r="L1034" s="27"/>
      <c r="M1034" s="1223"/>
      <c r="N1034" s="61"/>
      <c r="O1034" s="61"/>
    </row>
    <row r="1035" spans="1:15" s="642" customFormat="1" x14ac:dyDescent="0.2">
      <c r="A1035" s="94"/>
      <c r="B1035" s="112"/>
      <c r="C1035" s="119"/>
      <c r="D1035" s="99"/>
      <c r="E1035" s="176"/>
      <c r="F1035" s="124">
        <v>192</v>
      </c>
      <c r="G1035" s="95">
        <v>465</v>
      </c>
      <c r="H1035" s="90" t="s">
        <v>272</v>
      </c>
      <c r="I1035" s="160">
        <v>1313900</v>
      </c>
      <c r="J1035" s="160"/>
      <c r="K1035" s="160">
        <f t="shared" si="73"/>
        <v>1313900</v>
      </c>
      <c r="L1035" s="26"/>
      <c r="M1035" s="1223"/>
      <c r="N1035" s="61"/>
      <c r="O1035" s="61"/>
    </row>
    <row r="1036" spans="1:15" s="642" customFormat="1" x14ac:dyDescent="0.2">
      <c r="A1036" s="94"/>
      <c r="B1036" s="112"/>
      <c r="C1036" s="119"/>
      <c r="D1036" s="99"/>
      <c r="E1036" s="176"/>
      <c r="F1036" s="124">
        <v>193</v>
      </c>
      <c r="G1036" s="95">
        <v>482</v>
      </c>
      <c r="H1036" s="90" t="s">
        <v>17</v>
      </c>
      <c r="I1036" s="160">
        <v>20000</v>
      </c>
      <c r="J1036" s="160">
        <v>20000</v>
      </c>
      <c r="K1036" s="160">
        <f t="shared" si="73"/>
        <v>40000</v>
      </c>
      <c r="L1036" s="27"/>
      <c r="M1036" s="1223"/>
      <c r="N1036" s="61"/>
      <c r="O1036" s="61"/>
    </row>
    <row r="1037" spans="1:15" s="642" customFormat="1" x14ac:dyDescent="0.2">
      <c r="A1037" s="94"/>
      <c r="B1037" s="112"/>
      <c r="C1037" s="119"/>
      <c r="D1037" s="99"/>
      <c r="E1037" s="176"/>
      <c r="F1037" s="124">
        <v>194</v>
      </c>
      <c r="G1037" s="95">
        <v>512</v>
      </c>
      <c r="H1037" s="90" t="s">
        <v>21</v>
      </c>
      <c r="I1037" s="1305">
        <v>1600000</v>
      </c>
      <c r="J1037" s="160"/>
      <c r="K1037" s="160">
        <f t="shared" si="73"/>
        <v>1600000</v>
      </c>
      <c r="L1037" s="27"/>
      <c r="M1037" s="1223"/>
      <c r="N1037" s="61"/>
      <c r="O1037" s="61"/>
    </row>
    <row r="1038" spans="1:15" s="642" customFormat="1" x14ac:dyDescent="0.2">
      <c r="A1038" s="583"/>
      <c r="B1038" s="926"/>
      <c r="C1038" s="121"/>
      <c r="D1038" s="101"/>
      <c r="E1038" s="177"/>
      <c r="F1038" s="1048"/>
      <c r="G1038" s="42"/>
      <c r="H1038" s="97" t="s">
        <v>375</v>
      </c>
      <c r="I1038" s="170">
        <f>SUM(I1022:I1037)</f>
        <v>23542900</v>
      </c>
      <c r="J1038" s="170">
        <f>SUM(J1022:J1036)</f>
        <v>1280000</v>
      </c>
      <c r="K1038" s="170">
        <f t="shared" si="73"/>
        <v>24822900</v>
      </c>
      <c r="L1038" s="27"/>
      <c r="M1038" s="1223"/>
      <c r="N1038" s="61"/>
      <c r="O1038" s="61"/>
    </row>
    <row r="1039" spans="1:15" s="642" customFormat="1" ht="15" x14ac:dyDescent="0.2">
      <c r="A1039" s="99"/>
      <c r="B1039" s="111"/>
      <c r="C1039" s="978"/>
      <c r="D1039" s="99"/>
      <c r="E1039" s="176"/>
      <c r="F1039" s="1"/>
      <c r="G1039" s="1"/>
      <c r="H1039" s="44"/>
      <c r="I1039" s="807"/>
      <c r="J1039" s="807"/>
      <c r="K1039" s="808"/>
      <c r="L1039" s="27"/>
      <c r="M1039" s="1223"/>
      <c r="N1039" s="61"/>
      <c r="O1039" s="61"/>
    </row>
    <row r="1040" spans="1:15" s="642" customFormat="1" ht="15" x14ac:dyDescent="0.2">
      <c r="A1040" s="99"/>
      <c r="B1040" s="111"/>
      <c r="C1040" s="978"/>
      <c r="D1040" s="99"/>
      <c r="E1040" s="176"/>
      <c r="F1040" s="1"/>
      <c r="G1040" s="38" t="s">
        <v>39</v>
      </c>
      <c r="H1040" s="90" t="s">
        <v>40</v>
      </c>
      <c r="I1040" s="133">
        <f>SUM(I1043-I1042)</f>
        <v>22542900</v>
      </c>
      <c r="J1040" s="133"/>
      <c r="K1040" s="133">
        <f>SUM(I1040+J1040)</f>
        <v>22542900</v>
      </c>
      <c r="L1040" s="27"/>
      <c r="M1040" s="1223"/>
      <c r="N1040" s="61"/>
      <c r="O1040" s="61"/>
    </row>
    <row r="1041" spans="1:15" s="642" customFormat="1" ht="15" x14ac:dyDescent="0.2">
      <c r="A1041" s="99"/>
      <c r="B1041" s="111"/>
      <c r="C1041" s="978"/>
      <c r="D1041" s="99"/>
      <c r="E1041" s="176"/>
      <c r="F1041" s="1"/>
      <c r="G1041" s="38" t="s">
        <v>66</v>
      </c>
      <c r="H1041" s="90" t="s">
        <v>67</v>
      </c>
      <c r="I1041" s="133"/>
      <c r="J1041" s="133">
        <f>SUM(J1038)-J1042</f>
        <v>1280000</v>
      </c>
      <c r="K1041" s="133">
        <f>SUM(I1041+J1041)</f>
        <v>1280000</v>
      </c>
      <c r="L1041" s="27"/>
      <c r="M1041" s="1223"/>
      <c r="N1041" s="61"/>
      <c r="O1041" s="61"/>
    </row>
    <row r="1042" spans="1:15" s="642" customFormat="1" ht="15" x14ac:dyDescent="0.2">
      <c r="A1042" s="99"/>
      <c r="B1042" s="111"/>
      <c r="C1042" s="978"/>
      <c r="D1042" s="99"/>
      <c r="E1042" s="176"/>
      <c r="F1042" s="1"/>
      <c r="G1042" s="38" t="s">
        <v>157</v>
      </c>
      <c r="H1042" s="90" t="s">
        <v>354</v>
      </c>
      <c r="I1042" s="1306">
        <v>1000000</v>
      </c>
      <c r="J1042" s="133"/>
      <c r="K1042" s="133">
        <f>SUM(I1042+J1042)</f>
        <v>1000000</v>
      </c>
      <c r="L1042" s="27"/>
      <c r="M1042" s="1223"/>
      <c r="N1042" s="61"/>
      <c r="O1042" s="61"/>
    </row>
    <row r="1043" spans="1:15" s="642" customFormat="1" ht="15" x14ac:dyDescent="0.2">
      <c r="A1043" s="101"/>
      <c r="B1043" s="781"/>
      <c r="C1043" s="972"/>
      <c r="D1043" s="101"/>
      <c r="E1043" s="177"/>
      <c r="F1043" s="42"/>
      <c r="G1043" s="43"/>
      <c r="H1043" s="504" t="s">
        <v>375</v>
      </c>
      <c r="I1043" s="170">
        <f>SUM(I1038)</f>
        <v>23542900</v>
      </c>
      <c r="J1043" s="170">
        <f>SUM(J1040:J1042)</f>
        <v>1280000</v>
      </c>
      <c r="K1043" s="170">
        <f>SUM(K1040:K1042)</f>
        <v>24822900</v>
      </c>
      <c r="L1043" s="27"/>
      <c r="M1043" s="1223"/>
      <c r="N1043" s="61"/>
      <c r="O1043" s="61"/>
    </row>
    <row r="1044" spans="1:15" s="642" customFormat="1" x14ac:dyDescent="0.2">
      <c r="A1044" s="88"/>
      <c r="B1044" s="1006"/>
      <c r="C1044" s="124"/>
      <c r="D1044" s="95"/>
      <c r="E1044" s="154"/>
      <c r="F1044" s="290"/>
      <c r="G1044" s="57"/>
      <c r="H1044" s="1063"/>
      <c r="I1044" s="989"/>
      <c r="J1044" s="989"/>
      <c r="K1044" s="860"/>
      <c r="L1044" s="27"/>
      <c r="M1044" s="1223"/>
      <c r="N1044" s="61"/>
      <c r="O1044" s="61"/>
    </row>
    <row r="1045" spans="1:15" s="642" customFormat="1" x14ac:dyDescent="0.2">
      <c r="A1045" s="919"/>
      <c r="B1045" s="1064"/>
      <c r="C1045" s="120"/>
      <c r="D1045" s="100"/>
      <c r="E1045" s="976"/>
      <c r="F1045" s="41"/>
      <c r="G1045" s="45"/>
      <c r="H1045" s="136" t="s">
        <v>294</v>
      </c>
      <c r="I1045" s="995"/>
      <c r="J1045" s="995"/>
      <c r="K1045" s="488"/>
      <c r="L1045" s="27"/>
      <c r="M1045" s="1223"/>
      <c r="N1045" s="61"/>
      <c r="O1045" s="61"/>
    </row>
    <row r="1046" spans="1:15" s="642" customFormat="1" x14ac:dyDescent="0.2">
      <c r="A1046" s="94"/>
      <c r="B1046" s="112"/>
      <c r="C1046" s="119"/>
      <c r="D1046" s="99"/>
      <c r="E1046" s="128" t="s">
        <v>295</v>
      </c>
      <c r="F1046" s="1"/>
      <c r="G1046" s="38"/>
      <c r="H1046" s="137" t="s">
        <v>551</v>
      </c>
      <c r="I1046" s="833"/>
      <c r="J1046" s="833"/>
      <c r="K1046" s="492"/>
      <c r="L1046" s="27"/>
      <c r="M1046" s="1223"/>
      <c r="N1046" s="61"/>
      <c r="O1046" s="61"/>
    </row>
    <row r="1047" spans="1:15" s="642" customFormat="1" x14ac:dyDescent="0.2">
      <c r="A1047" s="94"/>
      <c r="B1047" s="112"/>
      <c r="C1047" s="119"/>
      <c r="D1047" s="99"/>
      <c r="E1047" s="128"/>
      <c r="F1047" s="1"/>
      <c r="G1047" s="38"/>
      <c r="H1047" s="44"/>
      <c r="I1047" s="807"/>
      <c r="J1047" s="807"/>
      <c r="K1047" s="808"/>
      <c r="L1047" s="27"/>
      <c r="M1047" s="1223"/>
      <c r="N1047" s="61"/>
      <c r="O1047" s="61"/>
    </row>
    <row r="1048" spans="1:15" s="642" customFormat="1" x14ac:dyDescent="0.2">
      <c r="A1048" s="94"/>
      <c r="B1048" s="112"/>
      <c r="C1048" s="119"/>
      <c r="D1048" s="99"/>
      <c r="E1048" s="176"/>
      <c r="F1048" s="124">
        <v>195</v>
      </c>
      <c r="G1048" s="95">
        <v>423</v>
      </c>
      <c r="H1048" s="90" t="s">
        <v>9</v>
      </c>
      <c r="I1048" s="133">
        <v>1700000</v>
      </c>
      <c r="J1048" s="133">
        <v>400000</v>
      </c>
      <c r="K1048" s="133">
        <f>SUM(I1048+J1048)</f>
        <v>2100000</v>
      </c>
      <c r="L1048" s="27"/>
      <c r="M1048" s="1223"/>
      <c r="N1048" s="61"/>
      <c r="O1048" s="61"/>
    </row>
    <row r="1049" spans="1:15" s="642" customFormat="1" x14ac:dyDescent="0.2">
      <c r="A1049" s="94"/>
      <c r="B1049" s="112"/>
      <c r="C1049" s="119"/>
      <c r="D1049" s="99"/>
      <c r="E1049" s="176"/>
      <c r="F1049" s="124">
        <v>196</v>
      </c>
      <c r="G1049" s="95">
        <v>424</v>
      </c>
      <c r="H1049" s="90" t="s">
        <v>10</v>
      </c>
      <c r="I1049" s="133">
        <v>300000</v>
      </c>
      <c r="J1049" s="133">
        <v>20000</v>
      </c>
      <c r="K1049" s="133">
        <f>SUM(I1049+J1049)</f>
        <v>320000</v>
      </c>
      <c r="L1049" s="27"/>
      <c r="M1049" s="1223"/>
      <c r="N1049" s="61"/>
      <c r="O1049" s="61"/>
    </row>
    <row r="1050" spans="1:15" s="642" customFormat="1" x14ac:dyDescent="0.2">
      <c r="A1050" s="94"/>
      <c r="B1050" s="112"/>
      <c r="C1050" s="119"/>
      <c r="D1050" s="99"/>
      <c r="E1050" s="176"/>
      <c r="F1050" s="124">
        <v>197</v>
      </c>
      <c r="G1050" s="95">
        <v>515</v>
      </c>
      <c r="H1050" s="90" t="s">
        <v>23</v>
      </c>
      <c r="I1050" s="133">
        <v>1000000</v>
      </c>
      <c r="J1050" s="133">
        <v>400000</v>
      </c>
      <c r="K1050" s="133">
        <f>SUM(I1050+J1050)</f>
        <v>1400000</v>
      </c>
      <c r="L1050" s="27"/>
      <c r="M1050" s="1223"/>
      <c r="N1050" s="61"/>
      <c r="O1050" s="61"/>
    </row>
    <row r="1051" spans="1:15" s="642" customFormat="1" x14ac:dyDescent="0.2">
      <c r="A1051" s="583"/>
      <c r="B1051" s="926"/>
      <c r="C1051" s="121"/>
      <c r="D1051" s="101"/>
      <c r="E1051" s="177"/>
      <c r="F1051" s="42"/>
      <c r="G1051" s="42"/>
      <c r="H1051" s="97" t="s">
        <v>376</v>
      </c>
      <c r="I1051" s="170">
        <f>SUM(I1048:I1050)</f>
        <v>3000000</v>
      </c>
      <c r="J1051" s="170">
        <f>SUM(J1048:J1050)</f>
        <v>820000</v>
      </c>
      <c r="K1051" s="170">
        <f>SUM(K1048:K1050)</f>
        <v>3820000</v>
      </c>
      <c r="L1051" s="27"/>
      <c r="M1051" s="1223"/>
      <c r="N1051" s="61"/>
      <c r="O1051" s="61"/>
    </row>
    <row r="1052" spans="1:15" s="642" customFormat="1" ht="15" x14ac:dyDescent="0.2">
      <c r="A1052" s="99"/>
      <c r="B1052" s="111"/>
      <c r="C1052" s="978"/>
      <c r="D1052" s="99"/>
      <c r="E1052" s="176"/>
      <c r="F1052" s="1"/>
      <c r="G1052" s="1"/>
      <c r="H1052" s="44"/>
      <c r="I1052" s="807"/>
      <c r="J1052" s="807"/>
      <c r="K1052" s="808"/>
      <c r="L1052" s="27"/>
      <c r="M1052" s="1223"/>
      <c r="N1052" s="61"/>
      <c r="O1052" s="61"/>
    </row>
    <row r="1053" spans="1:15" s="642" customFormat="1" ht="15" x14ac:dyDescent="0.2">
      <c r="A1053" s="99"/>
      <c r="B1053" s="111"/>
      <c r="C1053" s="978"/>
      <c r="D1053" s="99"/>
      <c r="E1053" s="176"/>
      <c r="F1053" s="1"/>
      <c r="G1053" s="38" t="s">
        <v>39</v>
      </c>
      <c r="H1053" s="90" t="s">
        <v>40</v>
      </c>
      <c r="I1053" s="133">
        <f>SUM(I1051-I1055)</f>
        <v>2700000</v>
      </c>
      <c r="J1053" s="133"/>
      <c r="K1053" s="133">
        <f>SUM(I1053+J1053)</f>
        <v>2700000</v>
      </c>
      <c r="L1053" s="27"/>
      <c r="M1053" s="1223"/>
      <c r="N1053" s="61"/>
      <c r="O1053" s="61"/>
    </row>
    <row r="1054" spans="1:15" s="642" customFormat="1" ht="15" x14ac:dyDescent="0.2">
      <c r="A1054" s="99"/>
      <c r="B1054" s="111"/>
      <c r="C1054" s="978"/>
      <c r="D1054" s="99"/>
      <c r="E1054" s="176"/>
      <c r="F1054" s="1"/>
      <c r="G1054" s="38" t="s">
        <v>66</v>
      </c>
      <c r="H1054" s="90" t="s">
        <v>67</v>
      </c>
      <c r="I1054" s="133"/>
      <c r="J1054" s="133">
        <f>SUM(J1051)</f>
        <v>820000</v>
      </c>
      <c r="K1054" s="133">
        <f>SUM(I1054+J1054)</f>
        <v>820000</v>
      </c>
      <c r="L1054" s="27"/>
      <c r="M1054" s="1223"/>
      <c r="N1054" s="61"/>
      <c r="O1054" s="61"/>
    </row>
    <row r="1055" spans="1:15" s="642" customFormat="1" ht="15" x14ac:dyDescent="0.2">
      <c r="A1055" s="99"/>
      <c r="B1055" s="111"/>
      <c r="C1055" s="978"/>
      <c r="D1055" s="99"/>
      <c r="E1055" s="176"/>
      <c r="F1055" s="1"/>
      <c r="G1055" s="38" t="s">
        <v>157</v>
      </c>
      <c r="H1055" s="90" t="s">
        <v>354</v>
      </c>
      <c r="I1055" s="133">
        <v>300000</v>
      </c>
      <c r="J1055" s="133"/>
      <c r="K1055" s="133">
        <f>SUM(I1055+J1055)</f>
        <v>300000</v>
      </c>
      <c r="L1055" s="27"/>
      <c r="M1055" s="1223"/>
      <c r="N1055" s="61"/>
      <c r="O1055" s="61"/>
    </row>
    <row r="1056" spans="1:15" s="642" customFormat="1" ht="15" x14ac:dyDescent="0.2">
      <c r="A1056" s="101"/>
      <c r="B1056" s="781"/>
      <c r="C1056" s="972"/>
      <c r="D1056" s="101"/>
      <c r="E1056" s="177"/>
      <c r="F1056" s="42"/>
      <c r="G1056" s="43"/>
      <c r="H1056" s="504" t="s">
        <v>376</v>
      </c>
      <c r="I1056" s="170">
        <f>SUM(I1053:I1055)</f>
        <v>3000000</v>
      </c>
      <c r="J1056" s="170">
        <f>SUM(J1053:J1055)</f>
        <v>820000</v>
      </c>
      <c r="K1056" s="170">
        <f>SUM(K1053:K1055)</f>
        <v>3820000</v>
      </c>
      <c r="L1056" s="27"/>
      <c r="M1056" s="1223"/>
      <c r="N1056" s="61"/>
      <c r="O1056" s="61"/>
    </row>
    <row r="1057" spans="1:15" s="642" customFormat="1" ht="15" x14ac:dyDescent="0.2">
      <c r="A1057" s="99"/>
      <c r="B1057" s="111"/>
      <c r="C1057" s="978"/>
      <c r="D1057" s="99"/>
      <c r="E1057" s="176"/>
      <c r="F1057" s="1"/>
      <c r="G1057" s="38"/>
      <c r="H1057" s="658"/>
      <c r="I1057" s="906"/>
      <c r="J1057" s="906"/>
      <c r="K1057" s="907"/>
      <c r="L1057" s="27"/>
      <c r="M1057" s="1223"/>
      <c r="N1057" s="61"/>
      <c r="O1057" s="61"/>
    </row>
    <row r="1058" spans="1:15" s="642" customFormat="1" x14ac:dyDescent="0.2">
      <c r="A1058" s="94"/>
      <c r="B1058" s="112"/>
      <c r="C1058" s="119"/>
      <c r="D1058" s="99"/>
      <c r="E1058" s="176"/>
      <c r="F1058" s="1"/>
      <c r="G1058" s="1"/>
      <c r="H1058" s="138" t="s">
        <v>377</v>
      </c>
      <c r="I1058" s="859"/>
      <c r="J1058" s="859"/>
      <c r="K1058" s="860"/>
      <c r="L1058" s="27"/>
      <c r="M1058" s="1223"/>
      <c r="N1058" s="61"/>
      <c r="O1058" s="61"/>
    </row>
    <row r="1059" spans="1:15" s="642" customFormat="1" x14ac:dyDescent="0.2">
      <c r="A1059" s="94"/>
      <c r="B1059" s="112"/>
      <c r="C1059" s="119"/>
      <c r="D1059" s="99"/>
      <c r="E1059" s="176"/>
      <c r="F1059" s="1"/>
      <c r="G1059" s="38" t="s">
        <v>39</v>
      </c>
      <c r="H1059" s="90" t="s">
        <v>40</v>
      </c>
      <c r="I1059" s="133">
        <f>SUM(I1040+I1053)</f>
        <v>25242900</v>
      </c>
      <c r="J1059" s="133"/>
      <c r="K1059" s="133">
        <f>SUM(I1059+J1059)</f>
        <v>25242900</v>
      </c>
      <c r="L1059" s="27"/>
      <c r="M1059" s="1223"/>
      <c r="N1059" s="61"/>
      <c r="O1059" s="61"/>
    </row>
    <row r="1060" spans="1:15" s="642" customFormat="1" x14ac:dyDescent="0.2">
      <c r="A1060" s="94"/>
      <c r="B1060" s="112"/>
      <c r="C1060" s="119"/>
      <c r="D1060" s="99"/>
      <c r="E1060" s="176"/>
      <c r="F1060" s="1"/>
      <c r="G1060" s="38" t="s">
        <v>66</v>
      </c>
      <c r="H1060" s="90" t="s">
        <v>67</v>
      </c>
      <c r="I1060" s="133"/>
      <c r="J1060" s="133">
        <f>SUM(J1041+J1054)</f>
        <v>2100000</v>
      </c>
      <c r="K1060" s="133">
        <f>SUM(I1060+J1060)</f>
        <v>2100000</v>
      </c>
      <c r="L1060" s="27"/>
      <c r="M1060" s="1223"/>
      <c r="N1060" s="61"/>
      <c r="O1060" s="61"/>
    </row>
    <row r="1061" spans="1:15" s="642" customFormat="1" x14ac:dyDescent="0.2">
      <c r="A1061" s="94"/>
      <c r="B1061" s="112"/>
      <c r="C1061" s="119"/>
      <c r="D1061" s="99"/>
      <c r="E1061" s="176"/>
      <c r="F1061" s="1"/>
      <c r="G1061" s="38" t="s">
        <v>157</v>
      </c>
      <c r="H1061" s="90" t="s">
        <v>354</v>
      </c>
      <c r="I1061" s="133">
        <f>SUM(I1042+I1055)</f>
        <v>1300000</v>
      </c>
      <c r="J1061" s="133"/>
      <c r="K1061" s="133">
        <f>SUM(I1061+J1061)</f>
        <v>1300000</v>
      </c>
      <c r="L1061" s="27"/>
      <c r="M1061" s="1223"/>
      <c r="N1061" s="61"/>
      <c r="O1061" s="61"/>
    </row>
    <row r="1062" spans="1:15" s="642" customFormat="1" x14ac:dyDescent="0.2">
      <c r="A1062" s="583"/>
      <c r="B1062" s="926"/>
      <c r="C1062" s="121"/>
      <c r="D1062" s="101"/>
      <c r="E1062" s="177"/>
      <c r="F1062" s="42"/>
      <c r="G1062" s="43"/>
      <c r="H1062" s="96" t="s">
        <v>107</v>
      </c>
      <c r="I1062" s="173">
        <f>SUM(I1059:I1061)</f>
        <v>26542900</v>
      </c>
      <c r="J1062" s="173">
        <f>SUM(J1059:J1061)</f>
        <v>2100000</v>
      </c>
      <c r="K1062" s="173">
        <f>SUM(K1059:K1061)</f>
        <v>28642900</v>
      </c>
      <c r="L1062" s="27"/>
      <c r="M1062" s="1223"/>
      <c r="N1062" s="61"/>
      <c r="O1062" s="61"/>
    </row>
    <row r="1063" spans="1:15" s="642" customFormat="1" x14ac:dyDescent="0.2">
      <c r="A1063" s="94"/>
      <c r="B1063" s="112"/>
      <c r="C1063" s="119"/>
      <c r="D1063" s="94"/>
      <c r="E1063" s="176"/>
      <c r="F1063" s="1"/>
      <c r="G1063" s="40"/>
      <c r="H1063" s="50"/>
      <c r="I1063" s="807"/>
      <c r="J1063" s="807"/>
      <c r="K1063" s="808"/>
      <c r="L1063" s="27"/>
      <c r="M1063" s="1223"/>
      <c r="N1063" s="61"/>
      <c r="O1063" s="61"/>
    </row>
    <row r="1064" spans="1:15" s="642" customFormat="1" x14ac:dyDescent="0.2">
      <c r="A1064" s="94"/>
      <c r="B1064" s="111">
        <v>5</v>
      </c>
      <c r="C1064" s="111"/>
      <c r="D1064" s="98"/>
      <c r="E1064" s="128"/>
      <c r="F1064" s="39"/>
      <c r="G1064" s="39"/>
      <c r="H1064" s="168" t="s">
        <v>108</v>
      </c>
      <c r="I1064" s="859"/>
      <c r="J1064" s="859"/>
      <c r="K1064" s="860"/>
      <c r="L1064" s="27"/>
      <c r="M1064" s="1223"/>
      <c r="N1064" s="61"/>
      <c r="O1064" s="61"/>
    </row>
    <row r="1065" spans="1:15" s="642" customFormat="1" x14ac:dyDescent="0.2">
      <c r="A1065" s="94"/>
      <c r="B1065" s="111"/>
      <c r="C1065" s="111"/>
      <c r="D1065" s="98"/>
      <c r="E1065" s="128"/>
      <c r="F1065" s="39"/>
      <c r="G1065" s="39"/>
      <c r="H1065" s="56"/>
      <c r="I1065" s="807"/>
      <c r="J1065" s="807"/>
      <c r="K1065" s="808"/>
      <c r="L1065" s="27"/>
      <c r="M1065" s="1223"/>
      <c r="N1065" s="61"/>
      <c r="O1065" s="61"/>
    </row>
    <row r="1066" spans="1:15" s="642" customFormat="1" x14ac:dyDescent="0.2">
      <c r="A1066" s="94"/>
      <c r="B1066" s="111"/>
      <c r="C1066" s="111"/>
      <c r="D1066" s="98"/>
      <c r="E1066" s="128"/>
      <c r="F1066" s="1"/>
      <c r="G1066" s="38"/>
      <c r="H1066" s="136" t="s">
        <v>334</v>
      </c>
      <c r="I1066" s="995"/>
      <c r="J1066" s="995"/>
      <c r="K1066" s="488"/>
      <c r="L1066" s="27"/>
      <c r="M1066" s="1223"/>
      <c r="N1066" s="61"/>
      <c r="O1066" s="61"/>
    </row>
    <row r="1067" spans="1:15" s="642" customFormat="1" x14ac:dyDescent="0.2">
      <c r="A1067" s="94"/>
      <c r="B1067" s="111"/>
      <c r="C1067" s="111"/>
      <c r="D1067" s="98"/>
      <c r="E1067" s="128" t="s">
        <v>291</v>
      </c>
      <c r="F1067" s="1"/>
      <c r="G1067" s="38"/>
      <c r="H1067" s="137" t="s">
        <v>292</v>
      </c>
      <c r="I1067" s="833"/>
      <c r="J1067" s="833"/>
      <c r="K1067" s="492"/>
      <c r="L1067" s="27"/>
      <c r="M1067" s="1223"/>
      <c r="N1067" s="61"/>
      <c r="O1067" s="61"/>
    </row>
    <row r="1068" spans="1:15" x14ac:dyDescent="0.2">
      <c r="A1068" s="390"/>
      <c r="B1068" s="371"/>
      <c r="C1068" s="371"/>
      <c r="D1068" s="374"/>
      <c r="E1068" s="377"/>
      <c r="F1068" s="194"/>
      <c r="G1068" s="195"/>
      <c r="H1068" s="147"/>
      <c r="I1068" s="228"/>
      <c r="J1068" s="228"/>
      <c r="K1068" s="391"/>
      <c r="L1068" s="358"/>
    </row>
    <row r="1069" spans="1:15" x14ac:dyDescent="0.2">
      <c r="A1069" s="106"/>
      <c r="B1069" s="375"/>
      <c r="C1069" s="122"/>
      <c r="D1069" s="103"/>
      <c r="E1069" s="250"/>
      <c r="F1069" s="124">
        <v>198</v>
      </c>
      <c r="G1069" s="95">
        <v>411</v>
      </c>
      <c r="H1069" s="90" t="s">
        <v>2</v>
      </c>
      <c r="I1069" s="471">
        <v>7950806</v>
      </c>
      <c r="J1069" s="472">
        <v>100085</v>
      </c>
      <c r="K1069" s="187">
        <f t="shared" ref="K1069:K1088" si="74">SUM(I1069+J1069)</f>
        <v>8050891</v>
      </c>
    </row>
    <row r="1070" spans="1:15" x14ac:dyDescent="0.2">
      <c r="A1070" s="106"/>
      <c r="B1070" s="375"/>
      <c r="C1070" s="122"/>
      <c r="D1070" s="103"/>
      <c r="E1070" s="250"/>
      <c r="F1070" s="124">
        <v>199</v>
      </c>
      <c r="G1070" s="95">
        <v>412</v>
      </c>
      <c r="H1070" s="89" t="s">
        <v>3</v>
      </c>
      <c r="I1070" s="471">
        <v>1423194</v>
      </c>
      <c r="J1070" s="472">
        <v>17915</v>
      </c>
      <c r="K1070" s="187">
        <f t="shared" si="74"/>
        <v>1441109</v>
      </c>
    </row>
    <row r="1071" spans="1:15" x14ac:dyDescent="0.2">
      <c r="A1071" s="106"/>
      <c r="B1071" s="375"/>
      <c r="C1071" s="122"/>
      <c r="D1071" s="103"/>
      <c r="E1071" s="250"/>
      <c r="F1071" s="124">
        <v>200</v>
      </c>
      <c r="G1071" s="95">
        <v>413</v>
      </c>
      <c r="H1071" s="89" t="s">
        <v>34</v>
      </c>
      <c r="I1071" s="241">
        <v>130000</v>
      </c>
      <c r="J1071" s="472">
        <v>20000</v>
      </c>
      <c r="K1071" s="187">
        <f t="shared" si="74"/>
        <v>150000</v>
      </c>
    </row>
    <row r="1072" spans="1:15" s="364" customFormat="1" x14ac:dyDescent="0.2">
      <c r="A1072" s="106"/>
      <c r="B1072" s="375"/>
      <c r="C1072" s="122"/>
      <c r="D1072" s="103"/>
      <c r="E1072" s="250"/>
      <c r="F1072" s="124">
        <v>201</v>
      </c>
      <c r="G1072" s="95">
        <v>414</v>
      </c>
      <c r="H1072" s="90" t="s">
        <v>35</v>
      </c>
      <c r="I1072" s="241">
        <v>1370000</v>
      </c>
      <c r="J1072" s="472">
        <v>2600000</v>
      </c>
      <c r="K1072" s="187">
        <f t="shared" si="74"/>
        <v>3970000</v>
      </c>
      <c r="L1072" s="26"/>
      <c r="M1072" s="1224"/>
      <c r="N1072" s="363"/>
      <c r="O1072" s="363"/>
    </row>
    <row r="1073" spans="1:11" x14ac:dyDescent="0.2">
      <c r="A1073" s="106"/>
      <c r="B1073" s="375"/>
      <c r="C1073" s="122"/>
      <c r="D1073" s="103"/>
      <c r="E1073" s="250"/>
      <c r="F1073" s="124">
        <v>202</v>
      </c>
      <c r="G1073" s="95">
        <v>415</v>
      </c>
      <c r="H1073" s="89" t="s">
        <v>5</v>
      </c>
      <c r="I1073" s="241">
        <v>340000</v>
      </c>
      <c r="J1073" s="472"/>
      <c r="K1073" s="187">
        <f t="shared" si="74"/>
        <v>340000</v>
      </c>
    </row>
    <row r="1074" spans="1:11" x14ac:dyDescent="0.2">
      <c r="A1074" s="106"/>
      <c r="B1074" s="375"/>
      <c r="C1074" s="122"/>
      <c r="D1074" s="103"/>
      <c r="E1074" s="250"/>
      <c r="F1074" s="124">
        <v>203</v>
      </c>
      <c r="G1074" s="95">
        <v>416</v>
      </c>
      <c r="H1074" s="89" t="s">
        <v>6</v>
      </c>
      <c r="I1074" s="241">
        <v>550000</v>
      </c>
      <c r="J1074" s="472"/>
      <c r="K1074" s="187">
        <f t="shared" si="74"/>
        <v>550000</v>
      </c>
    </row>
    <row r="1075" spans="1:11" x14ac:dyDescent="0.2">
      <c r="A1075" s="106"/>
      <c r="B1075" s="375"/>
      <c r="C1075" s="122"/>
      <c r="D1075" s="103"/>
      <c r="E1075" s="250"/>
      <c r="F1075" s="124">
        <v>204</v>
      </c>
      <c r="G1075" s="95">
        <v>421</v>
      </c>
      <c r="H1075" s="89" t="s">
        <v>7</v>
      </c>
      <c r="I1075" s="241">
        <v>5300000</v>
      </c>
      <c r="J1075" s="472">
        <v>110000</v>
      </c>
      <c r="K1075" s="187">
        <f t="shared" si="74"/>
        <v>5410000</v>
      </c>
    </row>
    <row r="1076" spans="1:11" x14ac:dyDescent="0.2">
      <c r="A1076" s="106"/>
      <c r="B1076" s="375"/>
      <c r="C1076" s="122"/>
      <c r="D1076" s="103"/>
      <c r="E1076" s="250"/>
      <c r="F1076" s="124">
        <v>205</v>
      </c>
      <c r="G1076" s="95">
        <v>422</v>
      </c>
      <c r="H1076" s="90" t="s">
        <v>8</v>
      </c>
      <c r="I1076" s="241">
        <v>340000</v>
      </c>
      <c r="J1076" s="472">
        <v>270000</v>
      </c>
      <c r="K1076" s="187">
        <f t="shared" si="74"/>
        <v>610000</v>
      </c>
    </row>
    <row r="1077" spans="1:11" x14ac:dyDescent="0.2">
      <c r="A1077" s="106"/>
      <c r="B1077" s="375"/>
      <c r="C1077" s="122"/>
      <c r="D1077" s="103"/>
      <c r="E1077" s="250"/>
      <c r="F1077" s="124">
        <v>206</v>
      </c>
      <c r="G1077" s="95">
        <v>423</v>
      </c>
      <c r="H1077" s="90" t="s">
        <v>9</v>
      </c>
      <c r="I1077" s="241">
        <v>2280000</v>
      </c>
      <c r="J1077" s="472">
        <v>700000</v>
      </c>
      <c r="K1077" s="187">
        <f t="shared" si="74"/>
        <v>2980000</v>
      </c>
    </row>
    <row r="1078" spans="1:11" x14ac:dyDescent="0.2">
      <c r="A1078" s="106"/>
      <c r="B1078" s="375"/>
      <c r="C1078" s="122"/>
      <c r="D1078" s="103"/>
      <c r="E1078" s="250"/>
      <c r="F1078" s="124">
        <v>207</v>
      </c>
      <c r="G1078" s="95">
        <v>424</v>
      </c>
      <c r="H1078" s="90" t="s">
        <v>10</v>
      </c>
      <c r="I1078" s="241">
        <v>2400000</v>
      </c>
      <c r="J1078" s="472">
        <v>2500000</v>
      </c>
      <c r="K1078" s="187">
        <f t="shared" si="74"/>
        <v>4900000</v>
      </c>
    </row>
    <row r="1079" spans="1:11" x14ac:dyDescent="0.2">
      <c r="A1079" s="106"/>
      <c r="B1079" s="375"/>
      <c r="C1079" s="122"/>
      <c r="D1079" s="103"/>
      <c r="E1079" s="250"/>
      <c r="F1079" s="124">
        <v>208</v>
      </c>
      <c r="G1079" s="95">
        <v>425</v>
      </c>
      <c r="H1079" s="90" t="s">
        <v>11</v>
      </c>
      <c r="I1079" s="241">
        <v>3000000</v>
      </c>
      <c r="J1079" s="472">
        <v>30000</v>
      </c>
      <c r="K1079" s="187">
        <f t="shared" si="74"/>
        <v>3030000</v>
      </c>
    </row>
    <row r="1080" spans="1:11" x14ac:dyDescent="0.2">
      <c r="A1080" s="106"/>
      <c r="B1080" s="375"/>
      <c r="C1080" s="122"/>
      <c r="D1080" s="103"/>
      <c r="E1080" s="250"/>
      <c r="F1080" s="124">
        <v>209</v>
      </c>
      <c r="G1080" s="95">
        <v>426</v>
      </c>
      <c r="H1080" s="90" t="s">
        <v>36</v>
      </c>
      <c r="I1080" s="241">
        <v>1000000</v>
      </c>
      <c r="J1080" s="472">
        <v>830000</v>
      </c>
      <c r="K1080" s="187">
        <f t="shared" si="74"/>
        <v>1830000</v>
      </c>
    </row>
    <row r="1081" spans="1:11" x14ac:dyDescent="0.2">
      <c r="A1081" s="106"/>
      <c r="B1081" s="375"/>
      <c r="C1081" s="122"/>
      <c r="D1081" s="103"/>
      <c r="E1081" s="250"/>
      <c r="F1081" s="124">
        <v>210</v>
      </c>
      <c r="G1081" s="95">
        <v>431</v>
      </c>
      <c r="H1081" s="90" t="s">
        <v>12</v>
      </c>
      <c r="I1081" s="241"/>
      <c r="J1081" s="472">
        <v>150000</v>
      </c>
      <c r="K1081" s="187">
        <f t="shared" si="74"/>
        <v>150000</v>
      </c>
    </row>
    <row r="1082" spans="1:11" x14ac:dyDescent="0.2">
      <c r="A1082" s="106"/>
      <c r="B1082" s="375"/>
      <c r="C1082" s="122"/>
      <c r="D1082" s="103"/>
      <c r="E1082" s="250"/>
      <c r="F1082" s="124">
        <v>211</v>
      </c>
      <c r="G1082" s="95">
        <v>465</v>
      </c>
      <c r="H1082" s="90" t="s">
        <v>277</v>
      </c>
      <c r="I1082" s="241">
        <v>930400</v>
      </c>
      <c r="J1082" s="472">
        <v>11800</v>
      </c>
      <c r="K1082" s="187">
        <f t="shared" si="74"/>
        <v>942200</v>
      </c>
    </row>
    <row r="1083" spans="1:11" x14ac:dyDescent="0.2">
      <c r="A1083" s="106"/>
      <c r="B1083" s="375"/>
      <c r="C1083" s="122"/>
      <c r="D1083" s="103"/>
      <c r="E1083" s="250"/>
      <c r="F1083" s="124">
        <v>212</v>
      </c>
      <c r="G1083" s="95">
        <v>482</v>
      </c>
      <c r="H1083" s="90" t="s">
        <v>17</v>
      </c>
      <c r="I1083" s="241">
        <v>100000</v>
      </c>
      <c r="J1083" s="472">
        <v>17000</v>
      </c>
      <c r="K1083" s="187">
        <f t="shared" si="74"/>
        <v>117000</v>
      </c>
    </row>
    <row r="1084" spans="1:11" x14ac:dyDescent="0.2">
      <c r="A1084" s="106"/>
      <c r="B1084" s="375"/>
      <c r="C1084" s="122"/>
      <c r="D1084" s="103"/>
      <c r="E1084" s="250"/>
      <c r="F1084" s="124">
        <v>213</v>
      </c>
      <c r="G1084" s="95">
        <v>483</v>
      </c>
      <c r="H1084" s="90" t="s">
        <v>140</v>
      </c>
      <c r="I1084" s="241">
        <v>100000</v>
      </c>
      <c r="J1084" s="472">
        <v>0</v>
      </c>
      <c r="K1084" s="187">
        <f t="shared" si="74"/>
        <v>100000</v>
      </c>
    </row>
    <row r="1085" spans="1:11" x14ac:dyDescent="0.2">
      <c r="A1085" s="106"/>
      <c r="B1085" s="375"/>
      <c r="C1085" s="122"/>
      <c r="D1085" s="103"/>
      <c r="E1085" s="250"/>
      <c r="F1085" s="124">
        <v>214</v>
      </c>
      <c r="G1085" s="95">
        <v>512</v>
      </c>
      <c r="H1085" s="90" t="s">
        <v>21</v>
      </c>
      <c r="I1085" s="241">
        <v>1200000</v>
      </c>
      <c r="J1085" s="472">
        <v>300000</v>
      </c>
      <c r="K1085" s="187">
        <f t="shared" si="74"/>
        <v>1500000</v>
      </c>
    </row>
    <row r="1086" spans="1:11" x14ac:dyDescent="0.2">
      <c r="A1086" s="106"/>
      <c r="B1086" s="375"/>
      <c r="C1086" s="122"/>
      <c r="D1086" s="103"/>
      <c r="E1086" s="250"/>
      <c r="F1086" s="124">
        <v>215</v>
      </c>
      <c r="G1086" s="95">
        <v>515</v>
      </c>
      <c r="H1086" s="90" t="s">
        <v>822</v>
      </c>
      <c r="I1086" s="241">
        <v>500000</v>
      </c>
      <c r="J1086" s="472"/>
      <c r="K1086" s="187">
        <f t="shared" si="74"/>
        <v>500000</v>
      </c>
    </row>
    <row r="1087" spans="1:11" x14ac:dyDescent="0.2">
      <c r="A1087" s="106"/>
      <c r="B1087" s="375"/>
      <c r="C1087" s="122"/>
      <c r="D1087" s="103"/>
      <c r="E1087" s="250"/>
      <c r="F1087" s="120">
        <v>216</v>
      </c>
      <c r="G1087" s="100">
        <v>523</v>
      </c>
      <c r="H1087" s="90" t="s">
        <v>24</v>
      </c>
      <c r="I1087" s="241"/>
      <c r="J1087" s="472">
        <v>2200000</v>
      </c>
      <c r="K1087" s="187">
        <f t="shared" si="74"/>
        <v>2200000</v>
      </c>
    </row>
    <row r="1088" spans="1:11" x14ac:dyDescent="0.2">
      <c r="A1088" s="106"/>
      <c r="B1088" s="375"/>
      <c r="C1088" s="122"/>
      <c r="D1088" s="103"/>
      <c r="E1088" s="397"/>
      <c r="F1088" s="473"/>
      <c r="G1088" s="120"/>
      <c r="H1088" s="261" t="s">
        <v>375</v>
      </c>
      <c r="I1088" s="179">
        <f>SUM(I1069:I1087)</f>
        <v>28914400</v>
      </c>
      <c r="J1088" s="474">
        <f>SUM(J1069:J1087)</f>
        <v>9856800</v>
      </c>
      <c r="K1088" s="162">
        <f t="shared" si="74"/>
        <v>38771200</v>
      </c>
    </row>
    <row r="1089" spans="1:15" x14ac:dyDescent="0.2">
      <c r="A1089" s="107"/>
      <c r="B1089" s="392"/>
      <c r="C1089" s="123"/>
      <c r="D1089" s="104"/>
      <c r="E1089" s="398"/>
      <c r="F1089" s="475"/>
      <c r="G1089" s="121"/>
      <c r="H1089" s="476"/>
      <c r="I1089" s="477"/>
      <c r="J1089" s="478"/>
      <c r="K1089" s="479"/>
    </row>
    <row r="1090" spans="1:15" ht="15" x14ac:dyDescent="0.2">
      <c r="A1090" s="369"/>
      <c r="B1090" s="118"/>
      <c r="C1090" s="400"/>
      <c r="D1090" s="369"/>
      <c r="E1090" s="254"/>
      <c r="F1090" s="1"/>
      <c r="G1090" s="38" t="s">
        <v>39</v>
      </c>
      <c r="H1090" s="90" t="s">
        <v>40</v>
      </c>
      <c r="I1090" s="160">
        <f>SUM(I1095-I1092)</f>
        <v>28814400</v>
      </c>
      <c r="J1090" s="160"/>
      <c r="K1090" s="160">
        <f>SUM(I1090+J1090)</f>
        <v>28814400</v>
      </c>
    </row>
    <row r="1091" spans="1:15" ht="15" x14ac:dyDescent="0.2">
      <c r="A1091" s="103"/>
      <c r="B1091" s="113"/>
      <c r="C1091" s="403"/>
      <c r="D1091" s="103"/>
      <c r="E1091" s="250"/>
      <c r="F1091" s="1"/>
      <c r="G1091" s="38" t="s">
        <v>66</v>
      </c>
      <c r="H1091" s="90" t="s">
        <v>67</v>
      </c>
      <c r="I1091" s="160"/>
      <c r="J1091" s="160">
        <v>2006800</v>
      </c>
      <c r="K1091" s="160">
        <f>SUM(I1091+J1091)</f>
        <v>2006800</v>
      </c>
    </row>
    <row r="1092" spans="1:15" ht="15" x14ac:dyDescent="0.2">
      <c r="A1092" s="103"/>
      <c r="B1092" s="113"/>
      <c r="C1092" s="403"/>
      <c r="D1092" s="103"/>
      <c r="E1092" s="250"/>
      <c r="F1092" s="1"/>
      <c r="G1092" s="38" t="s">
        <v>157</v>
      </c>
      <c r="H1092" s="90" t="s">
        <v>354</v>
      </c>
      <c r="I1092" s="160">
        <v>100000</v>
      </c>
      <c r="J1092" s="160">
        <v>2600000</v>
      </c>
      <c r="K1092" s="160">
        <f>SUM(I1092+J1092)</f>
        <v>2700000</v>
      </c>
    </row>
    <row r="1093" spans="1:15" ht="15" x14ac:dyDescent="0.2">
      <c r="A1093" s="103"/>
      <c r="B1093" s="113"/>
      <c r="C1093" s="403"/>
      <c r="D1093" s="103"/>
      <c r="E1093" s="250"/>
      <c r="F1093" s="1"/>
      <c r="G1093" s="38" t="s">
        <v>321</v>
      </c>
      <c r="H1093" s="90" t="s">
        <v>322</v>
      </c>
      <c r="I1093" s="160"/>
      <c r="J1093" s="160">
        <v>4950000</v>
      </c>
      <c r="K1093" s="160">
        <f>SUM(I1093+J1093)</f>
        <v>4950000</v>
      </c>
    </row>
    <row r="1094" spans="1:15" ht="15" x14ac:dyDescent="0.2">
      <c r="A1094" s="103"/>
      <c r="B1094" s="113"/>
      <c r="C1094" s="403"/>
      <c r="D1094" s="103"/>
      <c r="E1094" s="250"/>
      <c r="F1094" s="1"/>
      <c r="G1094" s="38" t="s">
        <v>823</v>
      </c>
      <c r="H1094" s="90" t="s">
        <v>824</v>
      </c>
      <c r="I1094" s="160"/>
      <c r="J1094" s="160">
        <v>300000</v>
      </c>
      <c r="K1094" s="160">
        <f>SUM(I1094+J1094)</f>
        <v>300000</v>
      </c>
    </row>
    <row r="1095" spans="1:15" ht="15" x14ac:dyDescent="0.2">
      <c r="A1095" s="104"/>
      <c r="B1095" s="114"/>
      <c r="C1095" s="399"/>
      <c r="D1095" s="104"/>
      <c r="E1095" s="253"/>
      <c r="F1095" s="42"/>
      <c r="G1095" s="43"/>
      <c r="H1095" s="97" t="s">
        <v>375</v>
      </c>
      <c r="I1095" s="162">
        <f>SUM(I1088)</f>
        <v>28914400</v>
      </c>
      <c r="J1095" s="162">
        <f>SUM(J1090:J1094)</f>
        <v>9856800</v>
      </c>
      <c r="K1095" s="162">
        <f>SUM(K1090:K1094)</f>
        <v>38771200</v>
      </c>
    </row>
    <row r="1096" spans="1:15" x14ac:dyDescent="0.2">
      <c r="A1096" s="106"/>
      <c r="B1096" s="375"/>
      <c r="C1096" s="122"/>
      <c r="D1096" s="103"/>
      <c r="E1096" s="250"/>
      <c r="F1096" s="1"/>
      <c r="G1096" s="1"/>
      <c r="H1096" s="480"/>
      <c r="I1096" s="481"/>
      <c r="J1096" s="482"/>
      <c r="K1096" s="200"/>
    </row>
    <row r="1097" spans="1:15" x14ac:dyDescent="0.2">
      <c r="A1097" s="106"/>
      <c r="B1097" s="375"/>
      <c r="C1097" s="122"/>
      <c r="D1097" s="103"/>
      <c r="E1097" s="483"/>
      <c r="F1097" s="484"/>
      <c r="G1097" s="484"/>
      <c r="H1097" s="485" t="s">
        <v>294</v>
      </c>
      <c r="I1097" s="486"/>
      <c r="J1097" s="487"/>
      <c r="K1097" s="488"/>
    </row>
    <row r="1098" spans="1:15" x14ac:dyDescent="0.2">
      <c r="A1098" s="106"/>
      <c r="B1098" s="375"/>
      <c r="C1098" s="122"/>
      <c r="D1098" s="103"/>
      <c r="E1098" s="483" t="s">
        <v>295</v>
      </c>
      <c r="F1098" s="484"/>
      <c r="G1098" s="484"/>
      <c r="H1098" s="489" t="s">
        <v>551</v>
      </c>
      <c r="I1098" s="490"/>
      <c r="J1098" s="491"/>
      <c r="K1098" s="492"/>
    </row>
    <row r="1099" spans="1:15" x14ac:dyDescent="0.2">
      <c r="A1099" s="390"/>
      <c r="B1099" s="408"/>
      <c r="C1099" s="372"/>
      <c r="D1099" s="370"/>
      <c r="E1099" s="493"/>
      <c r="F1099" s="494"/>
      <c r="G1099" s="494"/>
      <c r="H1099" s="495"/>
      <c r="I1099" s="496"/>
      <c r="J1099" s="497"/>
      <c r="K1099" s="498"/>
      <c r="L1099" s="358"/>
    </row>
    <row r="1100" spans="1:15" x14ac:dyDescent="0.2">
      <c r="A1100" s="106"/>
      <c r="B1100" s="375"/>
      <c r="C1100" s="122"/>
      <c r="D1100" s="103"/>
      <c r="E1100" s="483"/>
      <c r="F1100" s="499">
        <v>217</v>
      </c>
      <c r="G1100" s="500">
        <v>423</v>
      </c>
      <c r="H1100" s="12" t="s">
        <v>9</v>
      </c>
      <c r="I1100" s="150">
        <v>1070000</v>
      </c>
      <c r="J1100" s="501">
        <v>20000</v>
      </c>
      <c r="K1100" s="151">
        <f>SUM(I1100+J1100)</f>
        <v>1090000</v>
      </c>
    </row>
    <row r="1101" spans="1:15" x14ac:dyDescent="0.2">
      <c r="A1101" s="106"/>
      <c r="B1101" s="375"/>
      <c r="C1101" s="122"/>
      <c r="D1101" s="103"/>
      <c r="E1101" s="483"/>
      <c r="F1101" s="499">
        <v>218</v>
      </c>
      <c r="G1101" s="500">
        <v>424</v>
      </c>
      <c r="H1101" s="12" t="s">
        <v>10</v>
      </c>
      <c r="I1101" s="150">
        <v>11910000</v>
      </c>
      <c r="J1101" s="501">
        <v>4000000</v>
      </c>
      <c r="K1101" s="151">
        <f>SUM(I1101+J1101)</f>
        <v>15910000</v>
      </c>
    </row>
    <row r="1102" spans="1:15" x14ac:dyDescent="0.2">
      <c r="A1102" s="106"/>
      <c r="B1102" s="375"/>
      <c r="C1102" s="122"/>
      <c r="D1102" s="103"/>
      <c r="E1102" s="483"/>
      <c r="F1102" s="499">
        <v>219</v>
      </c>
      <c r="G1102" s="500">
        <v>426</v>
      </c>
      <c r="H1102" s="12" t="s">
        <v>36</v>
      </c>
      <c r="I1102" s="150">
        <v>250000</v>
      </c>
      <c r="J1102" s="501">
        <v>80000</v>
      </c>
      <c r="K1102" s="151">
        <f>SUM(I1102+J1102)</f>
        <v>330000</v>
      </c>
    </row>
    <row r="1103" spans="1:15" s="364" customFormat="1" x14ac:dyDescent="0.2">
      <c r="A1103" s="107"/>
      <c r="B1103" s="392"/>
      <c r="C1103" s="123"/>
      <c r="D1103" s="104"/>
      <c r="E1103" s="502"/>
      <c r="F1103" s="503"/>
      <c r="G1103" s="503"/>
      <c r="H1103" s="504" t="s">
        <v>376</v>
      </c>
      <c r="I1103" s="505">
        <f>SUM(I1100:I1102)</f>
        <v>13230000</v>
      </c>
      <c r="J1103" s="505">
        <f>SUM(J1100:J1102)</f>
        <v>4100000</v>
      </c>
      <c r="K1103" s="505">
        <f t="shared" ref="K1103" si="75">SUM(K1100:K1102)</f>
        <v>17330000</v>
      </c>
      <c r="L1103" s="26"/>
      <c r="M1103" s="1224"/>
      <c r="N1103" s="363"/>
      <c r="O1103" s="363"/>
    </row>
    <row r="1104" spans="1:15" x14ac:dyDescent="0.2">
      <c r="A1104" s="106"/>
      <c r="B1104" s="375"/>
      <c r="C1104" s="122"/>
      <c r="D1104" s="103"/>
      <c r="E1104" s="250"/>
      <c r="F1104" s="46"/>
      <c r="G1104" s="46"/>
      <c r="H1104" s="404"/>
      <c r="I1104" s="231"/>
      <c r="J1104" s="412"/>
      <c r="K1104" s="415"/>
    </row>
    <row r="1105" spans="1:15" ht="15" x14ac:dyDescent="0.2">
      <c r="A1105" s="103"/>
      <c r="B1105" s="113"/>
      <c r="C1105" s="403"/>
      <c r="D1105" s="103"/>
      <c r="E1105" s="176"/>
      <c r="F1105" s="1"/>
      <c r="G1105" s="38" t="s">
        <v>39</v>
      </c>
      <c r="H1105" s="90" t="s">
        <v>40</v>
      </c>
      <c r="I1105" s="160">
        <f>SUM(I1108-I1106)</f>
        <v>12330000</v>
      </c>
      <c r="J1105" s="160"/>
      <c r="K1105" s="160">
        <f>SUM(I1105+J1105)</f>
        <v>12330000</v>
      </c>
      <c r="L1105" s="27"/>
    </row>
    <row r="1106" spans="1:15" ht="15" x14ac:dyDescent="0.2">
      <c r="A1106" s="103"/>
      <c r="B1106" s="113"/>
      <c r="C1106" s="403"/>
      <c r="D1106" s="103"/>
      <c r="E1106" s="176"/>
      <c r="F1106" s="1"/>
      <c r="G1106" s="38" t="s">
        <v>157</v>
      </c>
      <c r="H1106" s="90" t="s">
        <v>354</v>
      </c>
      <c r="I1106" s="160">
        <v>900000</v>
      </c>
      <c r="J1106" s="160"/>
      <c r="K1106" s="160">
        <f>SUM(I1106+J1106)</f>
        <v>900000</v>
      </c>
      <c r="L1106" s="27"/>
    </row>
    <row r="1107" spans="1:15" ht="15" x14ac:dyDescent="0.2">
      <c r="A1107" s="103"/>
      <c r="B1107" s="113"/>
      <c r="C1107" s="403"/>
      <c r="D1107" s="103"/>
      <c r="E1107" s="176"/>
      <c r="F1107" s="1"/>
      <c r="G1107" s="38" t="s">
        <v>66</v>
      </c>
      <c r="H1107" s="90" t="s">
        <v>67</v>
      </c>
      <c r="I1107" s="160"/>
      <c r="J1107" s="160">
        <v>4100000</v>
      </c>
      <c r="K1107" s="160">
        <f>SUM(I1107+J1107)</f>
        <v>4100000</v>
      </c>
      <c r="L1107" s="27"/>
      <c r="N1107" s="416"/>
    </row>
    <row r="1108" spans="1:15" ht="15" x14ac:dyDescent="0.2">
      <c r="A1108" s="104"/>
      <c r="B1108" s="114"/>
      <c r="C1108" s="399"/>
      <c r="D1108" s="104"/>
      <c r="E1108" s="177"/>
      <c r="F1108" s="42"/>
      <c r="G1108" s="43"/>
      <c r="H1108" s="97" t="s">
        <v>376</v>
      </c>
      <c r="I1108" s="162">
        <f>SUM(I1103)</f>
        <v>13230000</v>
      </c>
      <c r="J1108" s="162">
        <f>SUM(J1105:J1107)</f>
        <v>4100000</v>
      </c>
      <c r="K1108" s="162">
        <f>SUM(K1105:K1107)</f>
        <v>17330000</v>
      </c>
      <c r="L1108" s="27"/>
    </row>
    <row r="1109" spans="1:15" ht="15" x14ac:dyDescent="0.2">
      <c r="A1109" s="103"/>
      <c r="B1109" s="113"/>
      <c r="C1109" s="403"/>
      <c r="D1109" s="103"/>
      <c r="E1109" s="176"/>
      <c r="F1109" s="1"/>
      <c r="G1109" s="38"/>
      <c r="H1109" s="44"/>
      <c r="I1109" s="47"/>
      <c r="J1109" s="47"/>
      <c r="K1109" s="199"/>
      <c r="L1109" s="27"/>
      <c r="N1109" s="416"/>
    </row>
    <row r="1110" spans="1:15" s="642" customFormat="1" x14ac:dyDescent="0.2">
      <c r="A1110" s="94"/>
      <c r="B1110" s="112"/>
      <c r="C1110" s="119"/>
      <c r="D1110" s="99"/>
      <c r="E1110" s="176"/>
      <c r="F1110" s="1"/>
      <c r="G1110" s="1"/>
      <c r="H1110" s="138" t="s">
        <v>378</v>
      </c>
      <c r="I1110" s="163"/>
      <c r="J1110" s="163"/>
      <c r="K1110" s="164"/>
      <c r="L1110" s="27"/>
      <c r="M1110" s="1223"/>
      <c r="N1110" s="61"/>
      <c r="O1110" s="61"/>
    </row>
    <row r="1111" spans="1:15" s="642" customFormat="1" x14ac:dyDescent="0.2">
      <c r="A1111" s="94"/>
      <c r="B1111" s="112"/>
      <c r="C1111" s="119"/>
      <c r="D1111" s="99"/>
      <c r="E1111" s="176"/>
      <c r="F1111" s="1"/>
      <c r="G1111" s="38" t="s">
        <v>39</v>
      </c>
      <c r="H1111" s="90" t="s">
        <v>40</v>
      </c>
      <c r="I1111" s="160">
        <f>SUM(I1090+I1105)</f>
        <v>41144400</v>
      </c>
      <c r="J1111" s="160"/>
      <c r="K1111" s="160">
        <f>SUM(I1111+J1111)</f>
        <v>41144400</v>
      </c>
      <c r="L1111" s="27"/>
      <c r="M1111" s="1223"/>
      <c r="N1111" s="61"/>
      <c r="O1111" s="61"/>
    </row>
    <row r="1112" spans="1:15" s="642" customFormat="1" x14ac:dyDescent="0.2">
      <c r="A1112" s="94"/>
      <c r="B1112" s="112"/>
      <c r="C1112" s="119"/>
      <c r="D1112" s="99"/>
      <c r="E1112" s="176"/>
      <c r="F1112" s="1"/>
      <c r="G1112" s="38" t="s">
        <v>66</v>
      </c>
      <c r="H1112" s="90" t="s">
        <v>109</v>
      </c>
      <c r="I1112" s="160"/>
      <c r="J1112" s="160">
        <f>SUM(J1091+J1107)</f>
        <v>6106800</v>
      </c>
      <c r="K1112" s="160">
        <f>SUM(I1112+J1112)</f>
        <v>6106800</v>
      </c>
      <c r="L1112" s="27"/>
      <c r="M1112" s="1223"/>
      <c r="N1112" s="61"/>
      <c r="O1112" s="61"/>
    </row>
    <row r="1113" spans="1:15" s="642" customFormat="1" x14ac:dyDescent="0.2">
      <c r="A1113" s="94"/>
      <c r="B1113" s="112"/>
      <c r="C1113" s="119"/>
      <c r="D1113" s="99"/>
      <c r="E1113" s="176"/>
      <c r="F1113" s="1"/>
      <c r="G1113" s="38" t="s">
        <v>157</v>
      </c>
      <c r="H1113" s="90" t="s">
        <v>354</v>
      </c>
      <c r="I1113" s="160">
        <v>1000000</v>
      </c>
      <c r="J1113" s="160">
        <f>SUM(J1092)</f>
        <v>2600000</v>
      </c>
      <c r="K1113" s="160">
        <f>SUM(I1113+J1113)</f>
        <v>3600000</v>
      </c>
      <c r="L1113" s="27"/>
      <c r="M1113" s="1223"/>
      <c r="N1113" s="61"/>
      <c r="O1113" s="61"/>
    </row>
    <row r="1114" spans="1:15" s="642" customFormat="1" x14ac:dyDescent="0.2">
      <c r="A1114" s="94"/>
      <c r="B1114" s="112"/>
      <c r="C1114" s="119"/>
      <c r="D1114" s="99"/>
      <c r="E1114" s="176"/>
      <c r="F1114" s="1"/>
      <c r="G1114" s="38" t="s">
        <v>321</v>
      </c>
      <c r="H1114" s="90" t="s">
        <v>322</v>
      </c>
      <c r="I1114" s="160"/>
      <c r="J1114" s="160">
        <f>SUM(J1093)</f>
        <v>4950000</v>
      </c>
      <c r="K1114" s="160">
        <f>SUM(I1114+J1114)</f>
        <v>4950000</v>
      </c>
      <c r="L1114" s="27"/>
      <c r="M1114" s="1223"/>
      <c r="N1114" s="61"/>
      <c r="O1114" s="61"/>
    </row>
    <row r="1115" spans="1:15" s="642" customFormat="1" x14ac:dyDescent="0.2">
      <c r="A1115" s="94"/>
      <c r="B1115" s="112"/>
      <c r="C1115" s="119"/>
      <c r="D1115" s="99"/>
      <c r="E1115" s="176"/>
      <c r="F1115" s="1"/>
      <c r="G1115" s="38" t="s">
        <v>823</v>
      </c>
      <c r="H1115" s="90" t="s">
        <v>824</v>
      </c>
      <c r="I1115" s="160"/>
      <c r="J1115" s="160">
        <v>300000</v>
      </c>
      <c r="K1115" s="160">
        <f>SUM(I1115+J1115)</f>
        <v>300000</v>
      </c>
      <c r="L1115" s="27"/>
      <c r="M1115" s="1223"/>
      <c r="N1115" s="61"/>
      <c r="O1115" s="61"/>
    </row>
    <row r="1116" spans="1:15" s="642" customFormat="1" x14ac:dyDescent="0.2">
      <c r="A1116" s="583"/>
      <c r="B1116" s="926"/>
      <c r="C1116" s="121"/>
      <c r="D1116" s="101"/>
      <c r="E1116" s="177"/>
      <c r="F1116" s="42"/>
      <c r="G1116" s="43"/>
      <c r="H1116" s="97" t="s">
        <v>110</v>
      </c>
      <c r="I1116" s="162">
        <f>SUM(I1111:I1114)</f>
        <v>42144400</v>
      </c>
      <c r="J1116" s="162">
        <f>SUM(J1111:J1115)</f>
        <v>13956800</v>
      </c>
      <c r="K1116" s="162">
        <f>SUM(K1111:K1115)</f>
        <v>56101200</v>
      </c>
      <c r="L1116" s="27"/>
      <c r="M1116" s="1223"/>
      <c r="N1116" s="61"/>
      <c r="O1116" s="61"/>
    </row>
    <row r="1117" spans="1:15" x14ac:dyDescent="0.2">
      <c r="A1117" s="106"/>
      <c r="B1117" s="375"/>
      <c r="C1117" s="122"/>
      <c r="D1117" s="103"/>
      <c r="E1117" s="250"/>
      <c r="F1117" s="46"/>
      <c r="G1117" s="64"/>
      <c r="H1117" s="55"/>
      <c r="I1117" s="59"/>
      <c r="J1117" s="59"/>
      <c r="K1117" s="373"/>
    </row>
    <row r="1118" spans="1:15" s="642" customFormat="1" x14ac:dyDescent="0.2">
      <c r="A1118" s="99"/>
      <c r="B1118" s="111"/>
      <c r="C1118" s="111"/>
      <c r="D1118" s="94"/>
      <c r="E1118" s="128" t="s">
        <v>481</v>
      </c>
      <c r="F1118" s="1"/>
      <c r="G1118" s="1"/>
      <c r="H1118" s="56"/>
      <c r="I1118" s="48"/>
      <c r="J1118" s="48"/>
      <c r="K1118" s="205"/>
      <c r="L1118" s="27"/>
      <c r="M1118" s="1223"/>
      <c r="N1118" s="61"/>
      <c r="O1118" s="61"/>
    </row>
    <row r="1119" spans="1:15" s="642" customFormat="1" ht="22.5" x14ac:dyDescent="0.2">
      <c r="A1119" s="99"/>
      <c r="B1119" s="111"/>
      <c r="C1119" s="111"/>
      <c r="D1119" s="98"/>
      <c r="E1119" s="128"/>
      <c r="F1119" s="1"/>
      <c r="G1119" s="1"/>
      <c r="H1119" s="167" t="s">
        <v>483</v>
      </c>
      <c r="I1119" s="158"/>
      <c r="J1119" s="158"/>
      <c r="K1119" s="159"/>
      <c r="L1119" s="27"/>
      <c r="M1119" s="1223"/>
      <c r="N1119" s="61"/>
      <c r="O1119" s="61"/>
    </row>
    <row r="1120" spans="1:15" s="642" customFormat="1" x14ac:dyDescent="0.2">
      <c r="A1120" s="99"/>
      <c r="B1120" s="111"/>
      <c r="C1120" s="119"/>
      <c r="D1120" s="94"/>
      <c r="E1120" s="176"/>
      <c r="F1120" s="124">
        <v>220</v>
      </c>
      <c r="G1120" s="95">
        <v>454</v>
      </c>
      <c r="H1120" s="89" t="s">
        <v>162</v>
      </c>
      <c r="I1120" s="160">
        <v>4000000</v>
      </c>
      <c r="J1120" s="160"/>
      <c r="K1120" s="160">
        <f>SUM(I1120+J1120)</f>
        <v>4000000</v>
      </c>
      <c r="L1120" s="26"/>
      <c r="M1120" s="1223"/>
      <c r="N1120" s="61"/>
      <c r="O1120" s="61"/>
    </row>
    <row r="1121" spans="1:15" s="642" customFormat="1" ht="22.5" x14ac:dyDescent="0.2">
      <c r="A1121" s="94"/>
      <c r="B1121" s="111"/>
      <c r="C1121" s="119"/>
      <c r="D1121" s="94"/>
      <c r="E1121" s="176"/>
      <c r="F1121" s="1"/>
      <c r="G1121" s="1"/>
      <c r="H1121" s="152" t="s">
        <v>793</v>
      </c>
      <c r="I1121" s="178">
        <f>SUM(I1120)</f>
        <v>4000000</v>
      </c>
      <c r="J1121" s="161"/>
      <c r="K1121" s="161">
        <f>SUM(I1121+J1121)</f>
        <v>4000000</v>
      </c>
      <c r="L1121" s="27"/>
      <c r="M1121" s="1223"/>
      <c r="N1121" s="61"/>
      <c r="O1121" s="61"/>
    </row>
    <row r="1122" spans="1:15" s="642" customFormat="1" x14ac:dyDescent="0.2">
      <c r="A1122" s="919"/>
      <c r="B1122" s="787"/>
      <c r="C1122" s="120"/>
      <c r="D1122" s="100"/>
      <c r="E1122" s="246"/>
      <c r="F1122" s="41"/>
      <c r="G1122" s="45" t="s">
        <v>39</v>
      </c>
      <c r="H1122" s="90" t="s">
        <v>40</v>
      </c>
      <c r="I1122" s="241">
        <f>SUM(I1121)</f>
        <v>4000000</v>
      </c>
      <c r="J1122" s="161"/>
      <c r="K1122" s="160">
        <f>SUM(I1122+J1122)</f>
        <v>4000000</v>
      </c>
      <c r="L1122" s="27"/>
      <c r="M1122" s="1223"/>
      <c r="N1122" s="61"/>
      <c r="O1122" s="61"/>
    </row>
    <row r="1123" spans="1:15" s="642" customFormat="1" x14ac:dyDescent="0.2">
      <c r="A1123" s="583"/>
      <c r="B1123" s="781"/>
      <c r="C1123" s="121"/>
      <c r="D1123" s="101"/>
      <c r="E1123" s="177"/>
      <c r="F1123" s="42"/>
      <c r="G1123" s="42"/>
      <c r="H1123" s="97" t="s">
        <v>350</v>
      </c>
      <c r="I1123" s="162">
        <f>SUM(I1122)</f>
        <v>4000000</v>
      </c>
      <c r="J1123" s="162"/>
      <c r="K1123" s="162">
        <f>SUM(K1122)</f>
        <v>4000000</v>
      </c>
      <c r="L1123" s="27"/>
      <c r="M1123" s="1223"/>
      <c r="N1123" s="61"/>
      <c r="O1123" s="61"/>
    </row>
    <row r="1124" spans="1:15" x14ac:dyDescent="0.2">
      <c r="A1124" s="106"/>
      <c r="B1124" s="115"/>
      <c r="C1124" s="421"/>
      <c r="D1124" s="131"/>
      <c r="E1124" s="395"/>
      <c r="F1124" s="296"/>
      <c r="G1124" s="296"/>
      <c r="H1124" s="422"/>
      <c r="I1124" s="59"/>
      <c r="J1124" s="59"/>
      <c r="K1124" s="373"/>
    </row>
    <row r="1125" spans="1:15" s="642" customFormat="1" x14ac:dyDescent="0.2">
      <c r="A1125" s="99"/>
      <c r="B1125" s="111"/>
      <c r="C1125" s="111"/>
      <c r="D1125" s="94"/>
      <c r="E1125" s="128" t="s">
        <v>481</v>
      </c>
      <c r="F1125" s="1"/>
      <c r="G1125" s="1"/>
      <c r="H1125" s="56"/>
      <c r="I1125" s="48"/>
      <c r="J1125" s="48"/>
      <c r="K1125" s="205"/>
      <c r="L1125" s="27"/>
      <c r="M1125" s="1223"/>
      <c r="N1125" s="61"/>
      <c r="O1125" s="61"/>
    </row>
    <row r="1126" spans="1:15" s="642" customFormat="1" x14ac:dyDescent="0.2">
      <c r="A1126" s="99"/>
      <c r="B1126" s="111"/>
      <c r="C1126" s="111"/>
      <c r="D1126" s="98"/>
      <c r="E1126" s="128"/>
      <c r="F1126" s="1"/>
      <c r="G1126" s="1"/>
      <c r="H1126" s="167" t="s">
        <v>937</v>
      </c>
      <c r="I1126" s="158"/>
      <c r="J1126" s="158"/>
      <c r="K1126" s="159"/>
      <c r="L1126" s="27"/>
      <c r="M1126" s="1223"/>
      <c r="N1126" s="61"/>
      <c r="O1126" s="61"/>
    </row>
    <row r="1127" spans="1:15" s="642" customFormat="1" x14ac:dyDescent="0.2">
      <c r="A1127" s="99"/>
      <c r="B1127" s="111"/>
      <c r="C1127" s="119"/>
      <c r="D1127" s="94"/>
      <c r="E1127" s="176"/>
      <c r="F1127" s="124">
        <v>221</v>
      </c>
      <c r="G1127" s="95">
        <v>424</v>
      </c>
      <c r="H1127" s="89" t="s">
        <v>10</v>
      </c>
      <c r="I1127" s="160">
        <v>1</v>
      </c>
      <c r="J1127" s="160"/>
      <c r="K1127" s="160">
        <f>SUM(I1127:J1127)</f>
        <v>1</v>
      </c>
      <c r="L1127" s="26"/>
      <c r="M1127" s="1223"/>
      <c r="N1127" s="61"/>
      <c r="O1127" s="61"/>
    </row>
    <row r="1128" spans="1:15" s="642" customFormat="1" x14ac:dyDescent="0.2">
      <c r="A1128" s="99"/>
      <c r="B1128" s="111"/>
      <c r="C1128" s="119"/>
      <c r="D1128" s="94"/>
      <c r="E1128" s="176"/>
      <c r="F1128" s="124">
        <v>222</v>
      </c>
      <c r="G1128" s="95">
        <v>425</v>
      </c>
      <c r="H1128" s="89" t="s">
        <v>11</v>
      </c>
      <c r="I1128" s="160">
        <v>1500000</v>
      </c>
      <c r="J1128" s="160"/>
      <c r="K1128" s="160">
        <f>SUM(I1128:J1128)</f>
        <v>1500000</v>
      </c>
      <c r="L1128" s="27"/>
      <c r="M1128" s="1223"/>
      <c r="N1128" s="61"/>
      <c r="O1128" s="61"/>
    </row>
    <row r="1129" spans="1:15" s="642" customFormat="1" x14ac:dyDescent="0.2">
      <c r="A1129" s="99"/>
      <c r="B1129" s="111"/>
      <c r="C1129" s="119"/>
      <c r="D1129" s="94"/>
      <c r="E1129" s="176"/>
      <c r="F1129" s="124" t="s">
        <v>1161</v>
      </c>
      <c r="G1129" s="95">
        <v>511</v>
      </c>
      <c r="H1129" s="90" t="s">
        <v>735</v>
      </c>
      <c r="I1129" s="160">
        <v>250000</v>
      </c>
      <c r="J1129" s="160"/>
      <c r="K1129" s="160">
        <f>SUM(I1129:J1129)</f>
        <v>250000</v>
      </c>
      <c r="L1129" s="27"/>
      <c r="M1129" s="1223"/>
      <c r="N1129" s="61"/>
      <c r="O1129" s="61"/>
    </row>
    <row r="1130" spans="1:15" s="642" customFormat="1" x14ac:dyDescent="0.2">
      <c r="A1130" s="99"/>
      <c r="B1130" s="111"/>
      <c r="C1130" s="119"/>
      <c r="D1130" s="94"/>
      <c r="E1130" s="176"/>
      <c r="F1130" s="95">
        <v>223</v>
      </c>
      <c r="G1130" s="95">
        <v>515</v>
      </c>
      <c r="H1130" s="89" t="s">
        <v>23</v>
      </c>
      <c r="I1130" s="160">
        <v>4808000</v>
      </c>
      <c r="J1130" s="160"/>
      <c r="K1130" s="160">
        <f>SUM(I1130:J1130)</f>
        <v>4808000</v>
      </c>
      <c r="L1130" s="26"/>
      <c r="M1130" s="1223"/>
      <c r="N1130" s="61"/>
      <c r="O1130" s="61"/>
    </row>
    <row r="1131" spans="1:15" s="642" customFormat="1" x14ac:dyDescent="0.2">
      <c r="A1131" s="94"/>
      <c r="B1131" s="111"/>
      <c r="C1131" s="119"/>
      <c r="D1131" s="94"/>
      <c r="E1131" s="176"/>
      <c r="F1131" s="1"/>
      <c r="G1131" s="1"/>
      <c r="H1131" s="152" t="s">
        <v>794</v>
      </c>
      <c r="I1131" s="178">
        <f>SUM(I1127:I1130)</f>
        <v>6558001</v>
      </c>
      <c r="J1131" s="161"/>
      <c r="K1131" s="161">
        <f>SUM(I1131+J1131)</f>
        <v>6558001</v>
      </c>
      <c r="L1131" s="27"/>
      <c r="M1131" s="1223"/>
      <c r="N1131" s="61"/>
      <c r="O1131" s="61"/>
    </row>
    <row r="1132" spans="1:15" s="642" customFormat="1" x14ac:dyDescent="0.2">
      <c r="A1132" s="919"/>
      <c r="B1132" s="787"/>
      <c r="C1132" s="120"/>
      <c r="D1132" s="100"/>
      <c r="E1132" s="246"/>
      <c r="F1132" s="41"/>
      <c r="G1132" s="45" t="s">
        <v>39</v>
      </c>
      <c r="H1132" s="90" t="s">
        <v>40</v>
      </c>
      <c r="I1132" s="241">
        <f>SUM(I1131)</f>
        <v>6558001</v>
      </c>
      <c r="J1132" s="161"/>
      <c r="K1132" s="160">
        <f>SUM(I1132+J1132)</f>
        <v>6558001</v>
      </c>
      <c r="L1132" s="27"/>
      <c r="M1132" s="1223"/>
      <c r="N1132" s="61"/>
      <c r="O1132" s="61"/>
    </row>
    <row r="1133" spans="1:15" s="642" customFormat="1" x14ac:dyDescent="0.2">
      <c r="A1133" s="583"/>
      <c r="B1133" s="781"/>
      <c r="C1133" s="121"/>
      <c r="D1133" s="101"/>
      <c r="E1133" s="177"/>
      <c r="F1133" s="42"/>
      <c r="G1133" s="42"/>
      <c r="H1133" s="97" t="s">
        <v>350</v>
      </c>
      <c r="I1133" s="162">
        <f>SUM(I1132)</f>
        <v>6558001</v>
      </c>
      <c r="J1133" s="162"/>
      <c r="K1133" s="162">
        <f>SUM(K1132)</f>
        <v>6558001</v>
      </c>
      <c r="L1133" s="27"/>
      <c r="M1133" s="1223"/>
      <c r="N1133" s="61"/>
      <c r="O1133" s="61"/>
    </row>
    <row r="1134" spans="1:15" s="642" customFormat="1" x14ac:dyDescent="0.2">
      <c r="A1134" s="94"/>
      <c r="B1134" s="111"/>
      <c r="C1134" s="119"/>
      <c r="D1134" s="99"/>
      <c r="E1134" s="176"/>
      <c r="F1134" s="1"/>
      <c r="G1134" s="1"/>
      <c r="H1134" s="44"/>
      <c r="I1134" s="47"/>
      <c r="J1134" s="47"/>
      <c r="K1134" s="199"/>
      <c r="L1134" s="27"/>
      <c r="M1134" s="1223"/>
      <c r="N1134" s="61"/>
      <c r="O1134" s="61"/>
    </row>
    <row r="1135" spans="1:15" s="642" customFormat="1" x14ac:dyDescent="0.2">
      <c r="A1135" s="94"/>
      <c r="B1135" s="112"/>
      <c r="C1135" s="119"/>
      <c r="D1135" s="99"/>
      <c r="E1135" s="176"/>
      <c r="F1135" s="1"/>
      <c r="G1135" s="38" t="s">
        <v>39</v>
      </c>
      <c r="H1135" s="90" t="s">
        <v>40</v>
      </c>
      <c r="I1135" s="160">
        <f>SUM(I1059+I1111+I1122+I1132)</f>
        <v>76945301</v>
      </c>
      <c r="J1135" s="160"/>
      <c r="K1135" s="160">
        <f>SUM(I1135+J1135)</f>
        <v>76945301</v>
      </c>
      <c r="L1135" s="27"/>
      <c r="M1135" s="1223"/>
      <c r="N1135" s="61"/>
      <c r="O1135" s="61"/>
    </row>
    <row r="1136" spans="1:15" s="642" customFormat="1" x14ac:dyDescent="0.2">
      <c r="A1136" s="94"/>
      <c r="B1136" s="112"/>
      <c r="C1136" s="119"/>
      <c r="D1136" s="99"/>
      <c r="E1136" s="176"/>
      <c r="F1136" s="1"/>
      <c r="G1136" s="38" t="s">
        <v>66</v>
      </c>
      <c r="H1136" s="90" t="s">
        <v>109</v>
      </c>
      <c r="I1136" s="160"/>
      <c r="J1136" s="160">
        <f>SUM(J1060+J1112)</f>
        <v>8206800</v>
      </c>
      <c r="K1136" s="160">
        <f>SUM(I1136+J1136)</f>
        <v>8206800</v>
      </c>
      <c r="L1136" s="27"/>
      <c r="M1136" s="1223"/>
      <c r="N1136" s="61"/>
      <c r="O1136" s="61"/>
    </row>
    <row r="1137" spans="1:15" s="642" customFormat="1" x14ac:dyDescent="0.2">
      <c r="A1137" s="583"/>
      <c r="B1137" s="926"/>
      <c r="C1137" s="121"/>
      <c r="D1137" s="101"/>
      <c r="E1137" s="177"/>
      <c r="F1137" s="42"/>
      <c r="G1137" s="43" t="s">
        <v>157</v>
      </c>
      <c r="H1137" s="90" t="s">
        <v>354</v>
      </c>
      <c r="I1137" s="160">
        <f>SUM(I1061+I1113)</f>
        <v>2300000</v>
      </c>
      <c r="J1137" s="160">
        <f>SUM(J1061+J1113)</f>
        <v>2600000</v>
      </c>
      <c r="K1137" s="160">
        <f>SUM(I1137+J1137)</f>
        <v>4900000</v>
      </c>
      <c r="L1137" s="27"/>
      <c r="M1137" s="1223"/>
      <c r="N1137" s="61"/>
      <c r="O1137" s="61"/>
    </row>
    <row r="1138" spans="1:15" s="642" customFormat="1" x14ac:dyDescent="0.2">
      <c r="A1138" s="919"/>
      <c r="B1138" s="1064"/>
      <c r="C1138" s="120"/>
      <c r="D1138" s="100"/>
      <c r="E1138" s="246"/>
      <c r="F1138" s="41"/>
      <c r="G1138" s="45" t="s">
        <v>321</v>
      </c>
      <c r="H1138" s="90" t="s">
        <v>322</v>
      </c>
      <c r="I1138" s="160"/>
      <c r="J1138" s="160">
        <f>SUM(J1114)</f>
        <v>4950000</v>
      </c>
      <c r="K1138" s="160">
        <f>SUM(I1138+J1138)</f>
        <v>4950000</v>
      </c>
      <c r="L1138" s="27"/>
      <c r="M1138" s="1223"/>
      <c r="N1138" s="61"/>
      <c r="O1138" s="61"/>
    </row>
    <row r="1139" spans="1:15" s="642" customFormat="1" x14ac:dyDescent="0.2">
      <c r="A1139" s="94"/>
      <c r="B1139" s="112"/>
      <c r="C1139" s="119"/>
      <c r="D1139" s="99"/>
      <c r="E1139" s="176"/>
      <c r="F1139" s="1"/>
      <c r="G1139" s="38" t="s">
        <v>823</v>
      </c>
      <c r="H1139" s="90" t="s">
        <v>824</v>
      </c>
      <c r="I1139" s="160"/>
      <c r="J1139" s="160">
        <f>SUM(J1094)</f>
        <v>300000</v>
      </c>
      <c r="K1139" s="160">
        <f>SUM(I1139+J1139)</f>
        <v>300000</v>
      </c>
      <c r="L1139" s="27"/>
      <c r="M1139" s="1223"/>
      <c r="N1139" s="61"/>
      <c r="O1139" s="61"/>
    </row>
    <row r="1140" spans="1:15" s="642" customFormat="1" x14ac:dyDescent="0.2">
      <c r="A1140" s="583"/>
      <c r="B1140" s="926"/>
      <c r="C1140" s="121"/>
      <c r="D1140" s="101"/>
      <c r="E1140" s="177"/>
      <c r="F1140" s="42"/>
      <c r="G1140" s="43"/>
      <c r="H1140" s="97" t="s">
        <v>484</v>
      </c>
      <c r="I1140" s="162">
        <f>SUM(I1135:I1138)</f>
        <v>79245301</v>
      </c>
      <c r="J1140" s="162">
        <f>SUM(J1135:J1139)</f>
        <v>16056800</v>
      </c>
      <c r="K1140" s="162">
        <f>SUM(K1135:K1138)</f>
        <v>95002101</v>
      </c>
      <c r="L1140" s="27"/>
      <c r="M1140" s="1223"/>
      <c r="N1140" s="61"/>
      <c r="O1140" s="61"/>
    </row>
    <row r="1141" spans="1:15" x14ac:dyDescent="0.2">
      <c r="A1141" s="106"/>
      <c r="B1141" s="375"/>
      <c r="C1141" s="122"/>
      <c r="D1141" s="103"/>
      <c r="E1141" s="250"/>
      <c r="F1141" s="46"/>
      <c r="G1141" s="64"/>
      <c r="H1141" s="55"/>
      <c r="I1141" s="59"/>
      <c r="J1141" s="59"/>
      <c r="K1141" s="373"/>
    </row>
    <row r="1142" spans="1:15" s="642" customFormat="1" x14ac:dyDescent="0.2">
      <c r="A1142" s="788"/>
      <c r="B1142" s="789"/>
      <c r="C1142" s="790"/>
      <c r="D1142" s="148" t="s">
        <v>298</v>
      </c>
      <c r="E1142" s="767"/>
      <c r="F1142" s="134"/>
      <c r="G1142" s="135"/>
      <c r="H1142" s="220" t="s">
        <v>299</v>
      </c>
      <c r="I1142" s="221">
        <f>SUM(I1153+I1161+I1169)</f>
        <v>18973803.440000001</v>
      </c>
      <c r="J1142" s="221"/>
      <c r="K1142" s="222">
        <f>SUM(I1142:J1142)</f>
        <v>18973803.440000001</v>
      </c>
      <c r="L1142" s="887"/>
      <c r="M1142" s="1223"/>
      <c r="N1142" s="61"/>
      <c r="O1142" s="61"/>
    </row>
    <row r="1143" spans="1:15" s="642" customFormat="1" x14ac:dyDescent="0.2">
      <c r="A1143" s="102"/>
      <c r="B1143" s="890"/>
      <c r="C1143" s="116"/>
      <c r="D1143" s="126"/>
      <c r="E1143" s="248"/>
      <c r="F1143" s="37"/>
      <c r="G1143" s="30"/>
      <c r="H1143" s="29"/>
      <c r="I1143" s="62"/>
      <c r="J1143" s="62"/>
      <c r="K1143" s="200"/>
      <c r="L1143" s="891"/>
      <c r="M1143" s="1223"/>
      <c r="N1143" s="61"/>
      <c r="O1143" s="61"/>
    </row>
    <row r="1144" spans="1:15" s="642" customFormat="1" x14ac:dyDescent="0.2">
      <c r="A1144" s="99"/>
      <c r="B1144" s="111"/>
      <c r="C1144" s="119"/>
      <c r="D1144" s="99"/>
      <c r="E1144" s="128"/>
      <c r="F1144" s="1"/>
      <c r="G1144" s="38"/>
      <c r="H1144" s="136" t="s">
        <v>511</v>
      </c>
      <c r="I1144" s="180"/>
      <c r="J1144" s="180"/>
      <c r="K1144" s="140"/>
      <c r="L1144" s="27"/>
      <c r="M1144" s="1223"/>
      <c r="N1144" s="61"/>
      <c r="O1144" s="61"/>
    </row>
    <row r="1145" spans="1:15" s="642" customFormat="1" x14ac:dyDescent="0.2">
      <c r="A1145" s="99"/>
      <c r="B1145" s="111"/>
      <c r="C1145" s="119"/>
      <c r="D1145" s="98"/>
      <c r="E1145" s="128" t="s">
        <v>571</v>
      </c>
      <c r="F1145" s="1"/>
      <c r="G1145" s="40"/>
      <c r="H1145" s="137" t="s">
        <v>572</v>
      </c>
      <c r="I1145" s="141"/>
      <c r="J1145" s="141"/>
      <c r="K1145" s="181"/>
      <c r="L1145" s="27"/>
      <c r="M1145" s="1223"/>
      <c r="N1145" s="61"/>
      <c r="O1145" s="61"/>
    </row>
    <row r="1146" spans="1:15" s="893" customFormat="1" x14ac:dyDescent="0.2">
      <c r="A1146" s="788"/>
      <c r="B1146" s="789"/>
      <c r="C1146" s="790"/>
      <c r="D1146" s="912"/>
      <c r="E1146" s="148"/>
      <c r="F1146" s="134"/>
      <c r="G1146" s="165"/>
      <c r="H1146" s="144"/>
      <c r="I1146" s="145"/>
      <c r="J1146" s="145"/>
      <c r="K1146" s="198"/>
      <c r="L1146" s="887"/>
      <c r="M1146" s="1224"/>
      <c r="N1146" s="892"/>
      <c r="O1146" s="892"/>
    </row>
    <row r="1147" spans="1:15" s="896" customFormat="1" x14ac:dyDescent="0.2">
      <c r="A1147" s="99"/>
      <c r="B1147" s="111"/>
      <c r="C1147" s="111">
        <v>810</v>
      </c>
      <c r="D1147" s="98"/>
      <c r="E1147" s="128"/>
      <c r="F1147" s="1"/>
      <c r="G1147" s="39"/>
      <c r="H1147" s="168" t="s">
        <v>54</v>
      </c>
      <c r="I1147" s="163"/>
      <c r="J1147" s="163"/>
      <c r="K1147" s="164"/>
      <c r="L1147" s="27"/>
      <c r="M1147" s="1225"/>
      <c r="N1147" s="895"/>
      <c r="O1147" s="895"/>
    </row>
    <row r="1148" spans="1:15" s="642" customFormat="1" x14ac:dyDescent="0.2">
      <c r="A1148" s="99"/>
      <c r="B1148" s="111"/>
      <c r="C1148" s="111"/>
      <c r="D1148" s="98"/>
      <c r="E1148" s="128"/>
      <c r="F1148" s="1"/>
      <c r="G1148" s="39"/>
      <c r="H1148" s="56"/>
      <c r="I1148" s="48"/>
      <c r="J1148" s="48"/>
      <c r="K1148" s="205"/>
      <c r="L1148" s="27"/>
      <c r="M1148" s="1223"/>
      <c r="N1148" s="61"/>
      <c r="O1148" s="61"/>
    </row>
    <row r="1149" spans="1:15" s="642" customFormat="1" ht="22.5" x14ac:dyDescent="0.2">
      <c r="A1149" s="99"/>
      <c r="B1149" s="111"/>
      <c r="C1149" s="119"/>
      <c r="D1149" s="99"/>
      <c r="E1149" s="176"/>
      <c r="F1149" s="124">
        <v>224</v>
      </c>
      <c r="G1149" s="95">
        <v>451</v>
      </c>
      <c r="H1149" s="18" t="s">
        <v>379</v>
      </c>
      <c r="I1149" s="1276">
        <v>14000000</v>
      </c>
      <c r="J1149" s="160"/>
      <c r="K1149" s="160">
        <f>SUM(I1149+J1149)</f>
        <v>14000000</v>
      </c>
      <c r="L1149" s="27"/>
      <c r="M1149" s="1223"/>
      <c r="N1149" s="61"/>
      <c r="O1149" s="61"/>
    </row>
    <row r="1150" spans="1:15" s="893" customFormat="1" x14ac:dyDescent="0.2">
      <c r="A1150" s="99"/>
      <c r="B1150" s="111"/>
      <c r="C1150" s="888"/>
      <c r="D1150" s="1027"/>
      <c r="E1150" s="1065"/>
      <c r="F1150" s="201"/>
      <c r="G1150" s="40"/>
      <c r="H1150" s="97" t="s">
        <v>795</v>
      </c>
      <c r="I1150" s="179">
        <f>SUM(I1149)</f>
        <v>14000000</v>
      </c>
      <c r="J1150" s="162"/>
      <c r="K1150" s="162">
        <f>SUM(I1149:I1149)</f>
        <v>14000000</v>
      </c>
      <c r="L1150" s="27"/>
      <c r="M1150" s="1224"/>
      <c r="N1150" s="892"/>
      <c r="O1150" s="892"/>
    </row>
    <row r="1151" spans="1:15" s="642" customFormat="1" x14ac:dyDescent="0.2">
      <c r="A1151" s="100"/>
      <c r="B1151" s="787"/>
      <c r="C1151" s="120"/>
      <c r="D1151" s="100"/>
      <c r="E1151" s="246"/>
      <c r="F1151" s="41"/>
      <c r="G1151" s="41"/>
      <c r="H1151" s="1066"/>
      <c r="I1151" s="48"/>
      <c r="J1151" s="48"/>
      <c r="K1151" s="205"/>
      <c r="L1151" s="27"/>
      <c r="M1151" s="1223"/>
      <c r="N1151" s="61"/>
      <c r="O1151" s="61"/>
    </row>
    <row r="1152" spans="1:15" s="642" customFormat="1" x14ac:dyDescent="0.2">
      <c r="A1152" s="99"/>
      <c r="B1152" s="111"/>
      <c r="C1152" s="119"/>
      <c r="D1152" s="99"/>
      <c r="E1152" s="176"/>
      <c r="F1152" s="1"/>
      <c r="G1152" s="38" t="s">
        <v>39</v>
      </c>
      <c r="H1152" s="90" t="s">
        <v>40</v>
      </c>
      <c r="I1152" s="160">
        <f>SUM(I1150)</f>
        <v>14000000</v>
      </c>
      <c r="J1152" s="160"/>
      <c r="K1152" s="160">
        <f>SUM(I1152+J1152)</f>
        <v>14000000</v>
      </c>
      <c r="L1152" s="27"/>
      <c r="M1152" s="1223"/>
      <c r="N1152" s="61"/>
      <c r="O1152" s="61"/>
    </row>
    <row r="1153" spans="1:15" s="642" customFormat="1" ht="15" customHeight="1" x14ac:dyDescent="0.2">
      <c r="A1153" s="101"/>
      <c r="B1153" s="781"/>
      <c r="C1153" s="121"/>
      <c r="D1153" s="101"/>
      <c r="E1153" s="177"/>
      <c r="F1153" s="42"/>
      <c r="G1153" s="43"/>
      <c r="H1153" s="97" t="s">
        <v>56</v>
      </c>
      <c r="I1153" s="162">
        <f>SUM(I1152)</f>
        <v>14000000</v>
      </c>
      <c r="J1153" s="162"/>
      <c r="K1153" s="162">
        <f t="shared" ref="K1153" si="76">SUM(K1152:K1152)</f>
        <v>14000000</v>
      </c>
      <c r="L1153" s="27"/>
      <c r="M1153" s="1223"/>
      <c r="N1153" s="61"/>
      <c r="O1153" s="61"/>
    </row>
    <row r="1154" spans="1:15" ht="14.25" customHeight="1" x14ac:dyDescent="0.2">
      <c r="A1154" s="103"/>
      <c r="B1154" s="113"/>
      <c r="C1154" s="122"/>
      <c r="D1154" s="103"/>
      <c r="E1154" s="250"/>
      <c r="F1154" s="46"/>
      <c r="G1154" s="64"/>
      <c r="H1154" s="55"/>
      <c r="I1154" s="59"/>
      <c r="J1154" s="59"/>
      <c r="K1154" s="373"/>
    </row>
    <row r="1155" spans="1:15" s="642" customFormat="1" x14ac:dyDescent="0.2">
      <c r="A1155" s="99"/>
      <c r="B1155" s="111"/>
      <c r="C1155" s="111">
        <v>810</v>
      </c>
      <c r="D1155" s="99"/>
      <c r="E1155" s="176"/>
      <c r="F1155" s="1"/>
      <c r="G1155" s="38"/>
      <c r="H1155" s="168" t="s">
        <v>54</v>
      </c>
      <c r="I1155" s="171"/>
      <c r="J1155" s="171"/>
      <c r="K1155" s="172"/>
      <c r="L1155" s="27"/>
      <c r="M1155" s="1223"/>
      <c r="N1155" s="61"/>
      <c r="O1155" s="61"/>
    </row>
    <row r="1156" spans="1:15" s="642" customFormat="1" x14ac:dyDescent="0.2">
      <c r="A1156" s="99"/>
      <c r="B1156" s="111"/>
      <c r="C1156" s="888"/>
      <c r="D1156" s="94"/>
      <c r="E1156" s="128" t="s">
        <v>298</v>
      </c>
      <c r="F1156" s="1"/>
      <c r="G1156" s="1"/>
      <c r="H1156" s="56"/>
      <c r="I1156" s="48"/>
      <c r="J1156" s="48"/>
      <c r="K1156" s="205"/>
      <c r="L1156" s="27"/>
      <c r="M1156" s="1223"/>
      <c r="N1156" s="61"/>
      <c r="O1156" s="61"/>
    </row>
    <row r="1157" spans="1:15" s="642" customFormat="1" x14ac:dyDescent="0.2">
      <c r="A1157" s="99"/>
      <c r="B1157" s="111"/>
      <c r="C1157" s="111"/>
      <c r="D1157" s="98"/>
      <c r="E1157" s="128"/>
      <c r="F1157" s="1"/>
      <c r="G1157" s="1"/>
      <c r="H1157" s="167" t="s">
        <v>702</v>
      </c>
      <c r="I1157" s="158"/>
      <c r="J1157" s="158"/>
      <c r="K1157" s="159"/>
      <c r="L1157" s="27"/>
      <c r="M1157" s="1223"/>
      <c r="N1157" s="61"/>
      <c r="O1157" s="61"/>
    </row>
    <row r="1158" spans="1:15" s="642" customFormat="1" x14ac:dyDescent="0.2">
      <c r="A1158" s="99"/>
      <c r="B1158" s="111"/>
      <c r="C1158" s="119"/>
      <c r="D1158" s="94"/>
      <c r="E1158" s="176"/>
      <c r="F1158" s="124">
        <v>225</v>
      </c>
      <c r="G1158" s="95">
        <v>421</v>
      </c>
      <c r="H1158" s="89" t="s">
        <v>7</v>
      </c>
      <c r="I1158" s="1275">
        <v>4500000</v>
      </c>
      <c r="J1158" s="160"/>
      <c r="K1158" s="160">
        <f>SUM(I1158+J1158)</f>
        <v>4500000</v>
      </c>
      <c r="L1158" s="26"/>
      <c r="M1158" s="1223"/>
      <c r="N1158" s="61"/>
      <c r="O1158" s="61"/>
    </row>
    <row r="1159" spans="1:15" s="642" customFormat="1" x14ac:dyDescent="0.2">
      <c r="A1159" s="94"/>
      <c r="B1159" s="111"/>
      <c r="C1159" s="119"/>
      <c r="D1159" s="94"/>
      <c r="E1159" s="176"/>
      <c r="F1159" s="1"/>
      <c r="G1159" s="1"/>
      <c r="H1159" s="153" t="s">
        <v>775</v>
      </c>
      <c r="I1159" s="523">
        <f>SUM(I1158)</f>
        <v>4500000</v>
      </c>
      <c r="J1159" s="192"/>
      <c r="K1159" s="192">
        <f>SUM(I1159+J1159)</f>
        <v>4500000</v>
      </c>
      <c r="L1159" s="27"/>
      <c r="M1159" s="1223"/>
      <c r="N1159" s="61"/>
      <c r="O1159" s="61"/>
    </row>
    <row r="1160" spans="1:15" s="642" customFormat="1" x14ac:dyDescent="0.2">
      <c r="A1160" s="919"/>
      <c r="B1160" s="787"/>
      <c r="C1160" s="120"/>
      <c r="D1160" s="100"/>
      <c r="E1160" s="246"/>
      <c r="F1160" s="41"/>
      <c r="G1160" s="45" t="s">
        <v>39</v>
      </c>
      <c r="H1160" s="90" t="s">
        <v>40</v>
      </c>
      <c r="I1160" s="241">
        <f>SUM(I1159)</f>
        <v>4500000</v>
      </c>
      <c r="J1160" s="161"/>
      <c r="K1160" s="160">
        <f>SUM(I1160+J1160)</f>
        <v>4500000</v>
      </c>
      <c r="L1160" s="27"/>
      <c r="M1160" s="1223"/>
      <c r="N1160" s="61"/>
      <c r="O1160" s="61"/>
    </row>
    <row r="1161" spans="1:15" s="642" customFormat="1" x14ac:dyDescent="0.2">
      <c r="A1161" s="583"/>
      <c r="B1161" s="781"/>
      <c r="C1161" s="121"/>
      <c r="D1161" s="101"/>
      <c r="E1161" s="177"/>
      <c r="F1161" s="42"/>
      <c r="G1161" s="42"/>
      <c r="H1161" s="97" t="s">
        <v>350</v>
      </c>
      <c r="I1161" s="162">
        <f>SUM(I1160)</f>
        <v>4500000</v>
      </c>
      <c r="J1161" s="162"/>
      <c r="K1161" s="162">
        <f>SUM(K1160)</f>
        <v>4500000</v>
      </c>
      <c r="L1161" s="27"/>
      <c r="M1161" s="1223"/>
      <c r="N1161" s="61"/>
      <c r="O1161" s="61"/>
    </row>
    <row r="1162" spans="1:15" s="642" customFormat="1" x14ac:dyDescent="0.2">
      <c r="A1162" s="94"/>
      <c r="B1162" s="111"/>
      <c r="C1162" s="119"/>
      <c r="D1162" s="99"/>
      <c r="E1162" s="176"/>
      <c r="F1162" s="1"/>
      <c r="G1162" s="1"/>
      <c r="H1162" s="29"/>
      <c r="I1162" s="60"/>
      <c r="J1162" s="60"/>
      <c r="K1162" s="200"/>
      <c r="L1162" s="27"/>
      <c r="M1162" s="1223"/>
      <c r="N1162" s="61"/>
      <c r="O1162" s="61"/>
    </row>
    <row r="1163" spans="1:15" s="642" customFormat="1" x14ac:dyDescent="0.2">
      <c r="A1163" s="94"/>
      <c r="B1163" s="111"/>
      <c r="C1163" s="119"/>
      <c r="D1163" s="99"/>
      <c r="E1163" s="483" t="s">
        <v>1162</v>
      </c>
      <c r="F1163" s="1"/>
      <c r="G1163" s="1"/>
      <c r="H1163" s="136" t="s">
        <v>337</v>
      </c>
      <c r="I1163" s="180"/>
      <c r="J1163" s="180"/>
      <c r="K1163" s="140"/>
      <c r="L1163" s="27"/>
      <c r="M1163" s="1223"/>
      <c r="N1163" s="61"/>
      <c r="O1163" s="61"/>
    </row>
    <row r="1164" spans="1:15" s="642" customFormat="1" x14ac:dyDescent="0.2">
      <c r="A1164" s="94"/>
      <c r="B1164" s="111"/>
      <c r="C1164" s="119"/>
      <c r="D1164" s="99"/>
      <c r="E1164" s="176"/>
      <c r="F1164" s="1"/>
      <c r="G1164" s="1"/>
      <c r="H1164" s="137" t="s">
        <v>1163</v>
      </c>
      <c r="I1164" s="141"/>
      <c r="J1164" s="141"/>
      <c r="K1164" s="181"/>
      <c r="L1164" s="27"/>
      <c r="M1164" s="1223"/>
      <c r="N1164" s="61"/>
      <c r="O1164" s="61"/>
    </row>
    <row r="1165" spans="1:15" s="642" customFormat="1" x14ac:dyDescent="0.2">
      <c r="A1165" s="94"/>
      <c r="B1165" s="111"/>
      <c r="C1165" s="119"/>
      <c r="D1165" s="99"/>
      <c r="E1165" s="176"/>
      <c r="F1165" s="1"/>
      <c r="G1165" s="1"/>
      <c r="H1165" s="29"/>
      <c r="I1165" s="60"/>
      <c r="J1165" s="60"/>
      <c r="K1165" s="200"/>
      <c r="L1165" s="27"/>
      <c r="M1165" s="1223"/>
      <c r="N1165" s="61"/>
      <c r="O1165" s="61"/>
    </row>
    <row r="1166" spans="1:15" s="642" customFormat="1" x14ac:dyDescent="0.2">
      <c r="A1166" s="94"/>
      <c r="B1166" s="111"/>
      <c r="C1166" s="119"/>
      <c r="D1166" s="99"/>
      <c r="E1166" s="176"/>
      <c r="F1166" s="124" t="s">
        <v>1164</v>
      </c>
      <c r="G1166" s="95">
        <v>423</v>
      </c>
      <c r="H1166" s="18" t="s">
        <v>9</v>
      </c>
      <c r="I1166" s="1276">
        <f>150316.44+130000</f>
        <v>280316.44</v>
      </c>
      <c r="J1166" s="160"/>
      <c r="K1166" s="160">
        <f>SUM(I1166+J1166)</f>
        <v>280316.44</v>
      </c>
      <c r="L1166" s="27"/>
      <c r="M1166" s="1223"/>
      <c r="N1166" s="61"/>
      <c r="O1166" s="61"/>
    </row>
    <row r="1167" spans="1:15" s="642" customFormat="1" x14ac:dyDescent="0.2">
      <c r="A1167" s="94"/>
      <c r="B1167" s="111"/>
      <c r="C1167" s="119"/>
      <c r="D1167" s="99"/>
      <c r="E1167" s="176"/>
      <c r="F1167" s="124" t="s">
        <v>1165</v>
      </c>
      <c r="G1167" s="95">
        <v>426</v>
      </c>
      <c r="H1167" s="18" t="s">
        <v>36</v>
      </c>
      <c r="I1167" s="1276">
        <v>45000</v>
      </c>
      <c r="J1167" s="160"/>
      <c r="K1167" s="160">
        <f t="shared" ref="K1167:K1168" si="77">SUM(I1167+J1167)</f>
        <v>45000</v>
      </c>
      <c r="L1167" s="27"/>
      <c r="M1167" s="1223"/>
      <c r="N1167" s="61"/>
      <c r="O1167" s="61"/>
    </row>
    <row r="1168" spans="1:15" s="642" customFormat="1" x14ac:dyDescent="0.2">
      <c r="A1168" s="94"/>
      <c r="B1168" s="111"/>
      <c r="C1168" s="119"/>
      <c r="D1168" s="99"/>
      <c r="E1168" s="176"/>
      <c r="F1168" s="124" t="s">
        <v>1166</v>
      </c>
      <c r="G1168" s="95">
        <v>512</v>
      </c>
      <c r="H1168" s="18" t="s">
        <v>21</v>
      </c>
      <c r="I1168" s="1276">
        <v>148487</v>
      </c>
      <c r="J1168" s="160"/>
      <c r="K1168" s="160">
        <f t="shared" si="77"/>
        <v>148487</v>
      </c>
      <c r="L1168" s="27"/>
      <c r="M1168" s="1223"/>
      <c r="N1168" s="61"/>
      <c r="O1168" s="61"/>
    </row>
    <row r="1169" spans="1:15" s="642" customFormat="1" x14ac:dyDescent="0.2">
      <c r="A1169" s="94"/>
      <c r="B1169" s="111"/>
      <c r="C1169" s="119"/>
      <c r="D1169" s="99"/>
      <c r="E1169" s="176"/>
      <c r="F1169" s="1"/>
      <c r="G1169" s="45" t="s">
        <v>157</v>
      </c>
      <c r="H1169" s="90" t="s">
        <v>354</v>
      </c>
      <c r="I1169" s="241">
        <f>SUM(I1166:I1168)</f>
        <v>473803.44</v>
      </c>
      <c r="J1169" s="161"/>
      <c r="K1169" s="160">
        <f>SUM(I1169+J1169)</f>
        <v>473803.44</v>
      </c>
      <c r="L1169" s="27"/>
      <c r="M1169" s="1223"/>
      <c r="N1169" s="61"/>
      <c r="O1169" s="61"/>
    </row>
    <row r="1170" spans="1:15" s="642" customFormat="1" x14ac:dyDescent="0.2">
      <c r="A1170" s="94"/>
      <c r="B1170" s="111"/>
      <c r="C1170" s="119"/>
      <c r="D1170" s="99"/>
      <c r="E1170" s="176"/>
      <c r="F1170" s="475"/>
      <c r="G1170" s="42"/>
      <c r="H1170" s="97" t="s">
        <v>1179</v>
      </c>
      <c r="I1170" s="162">
        <f>SUM(I1169)</f>
        <v>473803.44</v>
      </c>
      <c r="J1170" s="162"/>
      <c r="K1170" s="162">
        <f>SUM(K1169)</f>
        <v>473803.44</v>
      </c>
      <c r="L1170" s="27"/>
      <c r="M1170" s="1223"/>
      <c r="N1170" s="61"/>
      <c r="O1170" s="61"/>
    </row>
    <row r="1171" spans="1:15" s="642" customFormat="1" x14ac:dyDescent="0.2">
      <c r="A1171" s="94"/>
      <c r="B1171" s="111"/>
      <c r="C1171" s="119"/>
      <c r="D1171" s="99"/>
      <c r="E1171" s="176"/>
      <c r="F1171" s="1"/>
      <c r="G1171" s="1"/>
      <c r="H1171" s="29"/>
      <c r="I1171" s="60"/>
      <c r="J1171" s="60"/>
      <c r="K1171" s="200"/>
      <c r="L1171" s="27"/>
      <c r="M1171" s="1223"/>
      <c r="N1171" s="61"/>
      <c r="O1171" s="61"/>
    </row>
    <row r="1172" spans="1:15" s="642" customFormat="1" x14ac:dyDescent="0.2">
      <c r="A1172" s="788"/>
      <c r="B1172" s="789"/>
      <c r="C1172" s="790"/>
      <c r="D1172" s="148" t="s">
        <v>300</v>
      </c>
      <c r="E1172" s="767"/>
      <c r="F1172" s="134"/>
      <c r="G1172" s="135"/>
      <c r="H1172" s="220" t="s">
        <v>302</v>
      </c>
      <c r="I1172" s="221">
        <f>SUM(I1184+I1194+I1210+I1225+I1236+I1247+I1256+I1265+I1274+I1289)</f>
        <v>195487625.40000001</v>
      </c>
      <c r="J1172" s="908"/>
      <c r="K1172" s="222">
        <f>SUM(I1172:J1172)</f>
        <v>195487625.40000001</v>
      </c>
      <c r="L1172" s="887"/>
      <c r="M1172" s="1223"/>
      <c r="N1172" s="61"/>
      <c r="O1172" s="61"/>
    </row>
    <row r="1173" spans="1:15" s="642" customFormat="1" x14ac:dyDescent="0.2">
      <c r="A1173" s="788"/>
      <c r="B1173" s="789"/>
      <c r="C1173" s="790"/>
      <c r="D1173" s="148"/>
      <c r="E1173" s="767"/>
      <c r="F1173" s="134"/>
      <c r="G1173" s="135"/>
      <c r="H1173" s="144"/>
      <c r="I1173" s="791"/>
      <c r="J1173" s="909"/>
      <c r="K1173" s="792"/>
      <c r="L1173" s="887"/>
      <c r="M1173" s="1223"/>
      <c r="N1173" s="61"/>
      <c r="O1173" s="61"/>
    </row>
    <row r="1174" spans="1:15" s="642" customFormat="1" x14ac:dyDescent="0.2">
      <c r="A1174" s="99"/>
      <c r="B1174" s="111"/>
      <c r="C1174" s="119"/>
      <c r="D1174" s="99"/>
      <c r="E1174" s="176"/>
      <c r="F1174" s="1"/>
      <c r="G1174" s="38"/>
      <c r="H1174" s="136" t="s">
        <v>334</v>
      </c>
      <c r="I1174" s="180"/>
      <c r="J1174" s="180"/>
      <c r="K1174" s="140"/>
      <c r="L1174" s="27"/>
      <c r="M1174" s="1223"/>
      <c r="N1174" s="61"/>
      <c r="O1174" s="61"/>
    </row>
    <row r="1175" spans="1:15" s="642" customFormat="1" x14ac:dyDescent="0.2">
      <c r="A1175" s="99"/>
      <c r="B1175" s="111"/>
      <c r="C1175" s="119"/>
      <c r="D1175" s="98"/>
      <c r="E1175" s="128" t="s">
        <v>301</v>
      </c>
      <c r="F1175" s="1"/>
      <c r="G1175" s="40"/>
      <c r="H1175" s="137" t="s">
        <v>808</v>
      </c>
      <c r="I1175" s="141"/>
      <c r="J1175" s="141"/>
      <c r="K1175" s="181"/>
      <c r="L1175" s="27"/>
      <c r="M1175" s="1223"/>
      <c r="N1175" s="61"/>
      <c r="O1175" s="61"/>
    </row>
    <row r="1176" spans="1:15" s="893" customFormat="1" x14ac:dyDescent="0.2">
      <c r="A1176" s="94"/>
      <c r="B1176" s="111"/>
      <c r="C1176" s="948"/>
      <c r="D1176" s="128"/>
      <c r="E1176" s="128"/>
      <c r="F1176" s="39"/>
      <c r="G1176" s="39"/>
      <c r="H1176" s="44"/>
      <c r="I1176" s="62"/>
      <c r="J1176" s="48"/>
      <c r="K1176" s="205"/>
      <c r="L1176" s="27"/>
      <c r="M1176" s="1224"/>
      <c r="N1176" s="892"/>
      <c r="O1176" s="892"/>
    </row>
    <row r="1177" spans="1:15" s="893" customFormat="1" x14ac:dyDescent="0.2">
      <c r="A1177" s="98"/>
      <c r="B1177" s="111"/>
      <c r="C1177" s="948" t="s">
        <v>111</v>
      </c>
      <c r="D1177" s="128"/>
      <c r="E1177" s="128"/>
      <c r="F1177" s="506"/>
      <c r="G1177" s="39"/>
      <c r="H1177" s="915" t="s">
        <v>112</v>
      </c>
      <c r="I1177" s="610"/>
      <c r="J1177" s="611"/>
      <c r="K1177" s="916"/>
      <c r="L1177" s="27"/>
      <c r="M1177" s="1224"/>
      <c r="N1177" s="892"/>
      <c r="O1177" s="892"/>
    </row>
    <row r="1178" spans="1:15" x14ac:dyDescent="0.2">
      <c r="A1178" s="359"/>
      <c r="B1178" s="113"/>
      <c r="C1178" s="394"/>
      <c r="D1178" s="213"/>
      <c r="E1178" s="213"/>
      <c r="F1178" s="124">
        <v>226</v>
      </c>
      <c r="G1178" s="95">
        <v>463</v>
      </c>
      <c r="H1178" s="90" t="s">
        <v>380</v>
      </c>
      <c r="I1178" s="241">
        <v>12065000</v>
      </c>
      <c r="J1178" s="160"/>
      <c r="K1178" s="160">
        <f>SUM(I1178+J1178)</f>
        <v>12065000</v>
      </c>
    </row>
    <row r="1179" spans="1:15" ht="23.25" customHeight="1" x14ac:dyDescent="0.2">
      <c r="A1179" s="359"/>
      <c r="B1179" s="113"/>
      <c r="C1179" s="394"/>
      <c r="D1179" s="213"/>
      <c r="E1179" s="213"/>
      <c r="F1179" s="95">
        <v>227</v>
      </c>
      <c r="G1179" s="95">
        <v>472</v>
      </c>
      <c r="H1179" s="17" t="s">
        <v>825</v>
      </c>
      <c r="I1179" s="241">
        <v>29700000</v>
      </c>
      <c r="J1179" s="160"/>
      <c r="K1179" s="160">
        <f>SUM(I1179+J1179)</f>
        <v>29700000</v>
      </c>
    </row>
    <row r="1180" spans="1:15" x14ac:dyDescent="0.2">
      <c r="A1180" s="359"/>
      <c r="B1180" s="113"/>
      <c r="C1180" s="380"/>
      <c r="D1180" s="410"/>
      <c r="E1180" s="423"/>
      <c r="F1180" s="201"/>
      <c r="G1180" s="40"/>
      <c r="H1180" s="97" t="s">
        <v>776</v>
      </c>
      <c r="I1180" s="179">
        <f>I1178+I1179</f>
        <v>41765000</v>
      </c>
      <c r="J1180" s="179"/>
      <c r="K1180" s="179">
        <f>SUM(K1178:K1179)</f>
        <v>41765000</v>
      </c>
    </row>
    <row r="1181" spans="1:15" x14ac:dyDescent="0.2">
      <c r="A1181" s="359"/>
      <c r="B1181" s="359"/>
      <c r="C1181" s="424"/>
      <c r="D1181" s="410"/>
      <c r="E1181" s="423"/>
      <c r="F1181" s="276"/>
      <c r="G1181" s="219"/>
      <c r="H1181" s="311"/>
      <c r="I1181" s="226"/>
      <c r="J1181" s="223"/>
      <c r="K1181" s="280"/>
      <c r="L1181" s="298"/>
    </row>
    <row r="1182" spans="1:15" s="642" customFormat="1" ht="14.25" customHeight="1" x14ac:dyDescent="0.2">
      <c r="A1182" s="99"/>
      <c r="B1182" s="111"/>
      <c r="C1182" s="119"/>
      <c r="D1182" s="99"/>
      <c r="E1182" s="176"/>
      <c r="F1182" s="1"/>
      <c r="G1182" s="1"/>
      <c r="H1182" s="138" t="s">
        <v>113</v>
      </c>
      <c r="I1182" s="163"/>
      <c r="J1182" s="163"/>
      <c r="K1182" s="164"/>
      <c r="L1182" s="27"/>
      <c r="M1182" s="1223"/>
      <c r="N1182" s="61"/>
      <c r="O1182" s="61"/>
    </row>
    <row r="1183" spans="1:15" s="642" customFormat="1" ht="14.25" customHeight="1" x14ac:dyDescent="0.2">
      <c r="A1183" s="99"/>
      <c r="B1183" s="111"/>
      <c r="C1183" s="119"/>
      <c r="D1183" s="99"/>
      <c r="E1183" s="176"/>
      <c r="F1183" s="1"/>
      <c r="G1183" s="38" t="s">
        <v>39</v>
      </c>
      <c r="H1183" s="90" t="s">
        <v>40</v>
      </c>
      <c r="I1183" s="160">
        <f>SUM(I1180)</f>
        <v>41765000</v>
      </c>
      <c r="J1183" s="160"/>
      <c r="K1183" s="160">
        <f>SUM(I1183+J1183)</f>
        <v>41765000</v>
      </c>
      <c r="L1183" s="27"/>
      <c r="M1183" s="1223"/>
      <c r="N1183" s="61"/>
      <c r="O1183" s="61"/>
    </row>
    <row r="1184" spans="1:15" s="642" customFormat="1" x14ac:dyDescent="0.2">
      <c r="A1184" s="101"/>
      <c r="B1184" s="781"/>
      <c r="C1184" s="121"/>
      <c r="D1184" s="101"/>
      <c r="E1184" s="177"/>
      <c r="F1184" s="42"/>
      <c r="G1184" s="43"/>
      <c r="H1184" s="97" t="s">
        <v>114</v>
      </c>
      <c r="I1184" s="162">
        <f>SUM(I1180)</f>
        <v>41765000</v>
      </c>
      <c r="J1184" s="192"/>
      <c r="K1184" s="162">
        <f>SUM(I1184:I1184)</f>
        <v>41765000</v>
      </c>
      <c r="L1184" s="27"/>
      <c r="M1184" s="1223"/>
      <c r="N1184" s="61"/>
      <c r="O1184" s="61"/>
    </row>
    <row r="1185" spans="1:15" s="330" customFormat="1" x14ac:dyDescent="0.2">
      <c r="A1185" s="103"/>
      <c r="B1185" s="113"/>
      <c r="C1185" s="122"/>
      <c r="D1185" s="103"/>
      <c r="E1185" s="250"/>
      <c r="F1185" s="46"/>
      <c r="G1185" s="64"/>
      <c r="H1185" s="55"/>
      <c r="I1185" s="59"/>
      <c r="J1185" s="223"/>
      <c r="K1185" s="373"/>
      <c r="L1185" s="26"/>
      <c r="M1185" s="863"/>
      <c r="N1185" s="329"/>
      <c r="O1185" s="329"/>
    </row>
    <row r="1186" spans="1:15" s="642" customFormat="1" x14ac:dyDescent="0.2">
      <c r="A1186" s="99"/>
      <c r="B1186" s="111"/>
      <c r="C1186" s="119"/>
      <c r="D1186" s="99"/>
      <c r="E1186" s="176"/>
      <c r="F1186" s="1"/>
      <c r="G1186" s="38"/>
      <c r="H1186" s="136" t="s">
        <v>334</v>
      </c>
      <c r="I1186" s="180"/>
      <c r="J1186" s="180"/>
      <c r="K1186" s="140"/>
      <c r="L1186" s="27"/>
      <c r="M1186" s="1223"/>
      <c r="N1186" s="61"/>
      <c r="O1186" s="61"/>
    </row>
    <row r="1187" spans="1:15" s="642" customFormat="1" x14ac:dyDescent="0.2">
      <c r="A1187" s="98"/>
      <c r="B1187" s="111"/>
      <c r="C1187" s="948"/>
      <c r="D1187" s="98"/>
      <c r="E1187" s="128" t="s">
        <v>301</v>
      </c>
      <c r="F1187" s="1"/>
      <c r="G1187" s="40"/>
      <c r="H1187" s="137" t="s">
        <v>808</v>
      </c>
      <c r="I1187" s="141"/>
      <c r="J1187" s="141"/>
      <c r="K1187" s="793"/>
      <c r="L1187" s="27"/>
      <c r="M1187" s="1223"/>
      <c r="N1187" s="61"/>
      <c r="O1187" s="61"/>
    </row>
    <row r="1188" spans="1:15" s="642" customFormat="1" x14ac:dyDescent="0.2">
      <c r="A1188" s="98"/>
      <c r="B1188" s="111"/>
      <c r="C1188" s="948"/>
      <c r="D1188" s="98"/>
      <c r="E1188" s="128"/>
      <c r="F1188" s="1"/>
      <c r="G1188" s="40"/>
      <c r="H1188" s="44"/>
      <c r="I1188" s="48"/>
      <c r="J1188" s="48"/>
      <c r="K1188" s="205"/>
      <c r="L1188" s="27"/>
      <c r="M1188" s="1223"/>
      <c r="N1188" s="61"/>
      <c r="O1188" s="61"/>
    </row>
    <row r="1189" spans="1:15" s="642" customFormat="1" x14ac:dyDescent="0.2">
      <c r="A1189" s="98"/>
      <c r="B1189" s="111"/>
      <c r="C1189" s="948" t="s">
        <v>115</v>
      </c>
      <c r="D1189" s="128"/>
      <c r="E1189" s="128"/>
      <c r="F1189" s="1"/>
      <c r="G1189" s="1"/>
      <c r="H1189" s="915" t="s">
        <v>116</v>
      </c>
      <c r="I1189" s="610"/>
      <c r="J1189" s="610"/>
      <c r="K1189" s="530"/>
      <c r="L1189" s="27"/>
      <c r="M1189" s="1223"/>
      <c r="N1189" s="61"/>
      <c r="O1189" s="61"/>
    </row>
    <row r="1190" spans="1:15" s="642" customFormat="1" x14ac:dyDescent="0.2">
      <c r="A1190" s="98"/>
      <c r="B1190" s="111"/>
      <c r="C1190" s="948"/>
      <c r="D1190" s="128"/>
      <c r="E1190" s="128"/>
      <c r="F1190" s="124">
        <v>228</v>
      </c>
      <c r="G1190" s="95">
        <v>472</v>
      </c>
      <c r="H1190" s="90" t="s">
        <v>117</v>
      </c>
      <c r="I1190" s="241">
        <v>210000</v>
      </c>
      <c r="J1190" s="187"/>
      <c r="K1190" s="187">
        <f>SUM(I1190+J1190)</f>
        <v>210000</v>
      </c>
      <c r="L1190" s="27"/>
      <c r="M1190" s="1223"/>
      <c r="N1190" s="61"/>
      <c r="O1190" s="61"/>
    </row>
    <row r="1191" spans="1:15" s="642" customFormat="1" x14ac:dyDescent="0.2">
      <c r="A1191" s="98"/>
      <c r="B1191" s="111"/>
      <c r="C1191" s="948"/>
      <c r="D1191" s="128"/>
      <c r="E1191" s="128"/>
      <c r="F1191" s="1"/>
      <c r="G1191" s="1"/>
      <c r="H1191" s="97" t="s">
        <v>776</v>
      </c>
      <c r="I1191" s="162">
        <f>SUM(I1190)</f>
        <v>210000</v>
      </c>
      <c r="J1191" s="192"/>
      <c r="K1191" s="162">
        <f>SUM(I1191+J1191)</f>
        <v>210000</v>
      </c>
      <c r="L1191" s="27"/>
      <c r="M1191" s="1223"/>
      <c r="N1191" s="61"/>
      <c r="O1191" s="61"/>
    </row>
    <row r="1192" spans="1:15" s="642" customFormat="1" x14ac:dyDescent="0.2">
      <c r="A1192" s="95"/>
      <c r="B1192" s="922"/>
      <c r="C1192" s="124"/>
      <c r="D1192" s="95"/>
      <c r="E1192" s="154"/>
      <c r="F1192" s="57"/>
      <c r="G1192" s="57"/>
      <c r="H1192" s="138" t="s">
        <v>118</v>
      </c>
      <c r="I1192" s="287"/>
      <c r="J1192" s="287"/>
      <c r="K1192" s="894"/>
      <c r="L1192" s="27"/>
      <c r="M1192" s="1223"/>
      <c r="N1192" s="61"/>
      <c r="O1192" s="61"/>
    </row>
    <row r="1193" spans="1:15" s="642" customFormat="1" x14ac:dyDescent="0.2">
      <c r="A1193" s="100"/>
      <c r="B1193" s="787"/>
      <c r="C1193" s="120"/>
      <c r="D1193" s="100"/>
      <c r="E1193" s="246"/>
      <c r="F1193" s="41"/>
      <c r="G1193" s="45" t="s">
        <v>39</v>
      </c>
      <c r="H1193" s="90" t="s">
        <v>40</v>
      </c>
      <c r="I1193" s="187">
        <f>SUM(I1191)</f>
        <v>210000</v>
      </c>
      <c r="J1193" s="187"/>
      <c r="K1193" s="187">
        <f>SUM(I1193+J1193)</f>
        <v>210000</v>
      </c>
      <c r="L1193" s="27"/>
      <c r="M1193" s="1223"/>
      <c r="N1193" s="61"/>
      <c r="O1193" s="61"/>
    </row>
    <row r="1194" spans="1:15" s="642" customFormat="1" x14ac:dyDescent="0.2">
      <c r="A1194" s="101"/>
      <c r="B1194" s="781"/>
      <c r="C1194" s="121"/>
      <c r="D1194" s="101"/>
      <c r="E1194" s="177"/>
      <c r="F1194" s="42"/>
      <c r="G1194" s="43"/>
      <c r="H1194" s="97" t="s">
        <v>119</v>
      </c>
      <c r="I1194" s="162">
        <f>SUM(I1193)</f>
        <v>210000</v>
      </c>
      <c r="J1194" s="162"/>
      <c r="K1194" s="162">
        <f t="shared" ref="K1194" si="78">SUM(K1193)</f>
        <v>210000</v>
      </c>
      <c r="L1194" s="27"/>
      <c r="M1194" s="1223"/>
      <c r="N1194" s="61"/>
      <c r="O1194" s="61"/>
    </row>
    <row r="1195" spans="1:15" s="642" customFormat="1" x14ac:dyDescent="0.2">
      <c r="A1195" s="99"/>
      <c r="B1195" s="111"/>
      <c r="C1195" s="119"/>
      <c r="D1195" s="99"/>
      <c r="E1195" s="176"/>
      <c r="F1195" s="1"/>
      <c r="G1195" s="38"/>
      <c r="H1195" s="44"/>
      <c r="I1195" s="60"/>
      <c r="J1195" s="60"/>
      <c r="K1195" s="200"/>
      <c r="L1195" s="27"/>
      <c r="M1195" s="1223"/>
      <c r="N1195" s="61"/>
      <c r="O1195" s="61"/>
    </row>
    <row r="1196" spans="1:15" s="642" customFormat="1" x14ac:dyDescent="0.2">
      <c r="A1196" s="99"/>
      <c r="B1196" s="111"/>
      <c r="C1196" s="119"/>
      <c r="D1196" s="99"/>
      <c r="E1196" s="176"/>
      <c r="F1196" s="1"/>
      <c r="G1196" s="38"/>
      <c r="H1196" s="136" t="s">
        <v>334</v>
      </c>
      <c r="I1196" s="180"/>
      <c r="J1196" s="180"/>
      <c r="K1196" s="140"/>
      <c r="L1196" s="27"/>
      <c r="M1196" s="1223"/>
      <c r="N1196" s="61"/>
      <c r="O1196" s="61"/>
    </row>
    <row r="1197" spans="1:15" s="642" customFormat="1" x14ac:dyDescent="0.2">
      <c r="A1197" s="99"/>
      <c r="B1197" s="111"/>
      <c r="C1197" s="119"/>
      <c r="D1197" s="98"/>
      <c r="E1197" s="128" t="s">
        <v>301</v>
      </c>
      <c r="F1197" s="1"/>
      <c r="G1197" s="40"/>
      <c r="H1197" s="137" t="s">
        <v>808</v>
      </c>
      <c r="I1197" s="141"/>
      <c r="J1197" s="141"/>
      <c r="K1197" s="181"/>
      <c r="L1197" s="27"/>
      <c r="M1197" s="1223"/>
      <c r="N1197" s="61"/>
      <c r="O1197" s="61"/>
    </row>
    <row r="1198" spans="1:15" s="642" customFormat="1" x14ac:dyDescent="0.2">
      <c r="A1198" s="99"/>
      <c r="B1198" s="111"/>
      <c r="C1198" s="119"/>
      <c r="D1198" s="98"/>
      <c r="E1198" s="128"/>
      <c r="F1198" s="1"/>
      <c r="G1198" s="40"/>
      <c r="H1198" s="44"/>
      <c r="I1198" s="48"/>
      <c r="J1198" s="48"/>
      <c r="K1198" s="199"/>
      <c r="L1198" s="27"/>
      <c r="M1198" s="1223"/>
      <c r="N1198" s="61"/>
      <c r="O1198" s="61"/>
    </row>
    <row r="1199" spans="1:15" s="642" customFormat="1" x14ac:dyDescent="0.2">
      <c r="A1199" s="99"/>
      <c r="B1199" s="111"/>
      <c r="C1199" s="948" t="s">
        <v>120</v>
      </c>
      <c r="D1199" s="128"/>
      <c r="E1199" s="128"/>
      <c r="F1199" s="1"/>
      <c r="G1199" s="1"/>
      <c r="H1199" s="169" t="s">
        <v>121</v>
      </c>
      <c r="I1199" s="611"/>
      <c r="J1199" s="611"/>
      <c r="K1199" s="961"/>
      <c r="L1199" s="27"/>
      <c r="M1199" s="1223"/>
      <c r="N1199" s="61"/>
      <c r="O1199" s="61"/>
    </row>
    <row r="1200" spans="1:15" s="642" customFormat="1" x14ac:dyDescent="0.2">
      <c r="A1200" s="98"/>
      <c r="B1200" s="111"/>
      <c r="C1200" s="948"/>
      <c r="D1200" s="128"/>
      <c r="E1200" s="128"/>
      <c r="F1200" s="1"/>
      <c r="G1200" s="1"/>
      <c r="H1200" s="1018" t="s">
        <v>122</v>
      </c>
      <c r="I1200" s="785"/>
      <c r="J1200" s="785"/>
      <c r="K1200" s="1067"/>
      <c r="L1200" s="27"/>
      <c r="M1200" s="1223"/>
      <c r="N1200" s="61"/>
      <c r="O1200" s="61"/>
    </row>
    <row r="1201" spans="1:15" x14ac:dyDescent="0.2">
      <c r="A1201" s="359"/>
      <c r="B1201" s="113"/>
      <c r="C1201" s="394"/>
      <c r="D1201" s="213"/>
      <c r="E1201" s="213"/>
      <c r="F1201" s="46"/>
      <c r="G1201" s="46"/>
      <c r="H1201" s="279"/>
      <c r="I1201" s="223"/>
      <c r="J1201" s="223"/>
      <c r="K1201" s="280"/>
    </row>
    <row r="1202" spans="1:15" s="642" customFormat="1" x14ac:dyDescent="0.2">
      <c r="A1202" s="98"/>
      <c r="B1202" s="111"/>
      <c r="C1202" s="948"/>
      <c r="D1202" s="128"/>
      <c r="E1202" s="128"/>
      <c r="F1202" s="124">
        <v>229</v>
      </c>
      <c r="G1202" s="95">
        <v>472</v>
      </c>
      <c r="H1202" s="18" t="s">
        <v>381</v>
      </c>
      <c r="I1202" s="241">
        <v>1780000</v>
      </c>
      <c r="J1202" s="187"/>
      <c r="K1202" s="187">
        <f>SUM(I1202+J1202)</f>
        <v>1780000</v>
      </c>
      <c r="L1202" s="27"/>
      <c r="M1202" s="1223"/>
      <c r="N1202" s="61"/>
      <c r="O1202" s="61"/>
    </row>
    <row r="1203" spans="1:15" s="642" customFormat="1" ht="22.5" x14ac:dyDescent="0.2">
      <c r="A1203" s="98"/>
      <c r="B1203" s="111"/>
      <c r="C1203" s="948"/>
      <c r="D1203" s="128"/>
      <c r="E1203" s="128"/>
      <c r="F1203" s="124">
        <v>230</v>
      </c>
      <c r="G1203" s="95">
        <v>472</v>
      </c>
      <c r="H1203" s="18" t="s">
        <v>382</v>
      </c>
      <c r="I1203" s="241">
        <v>61150000</v>
      </c>
      <c r="J1203" s="187"/>
      <c r="K1203" s="187">
        <f>SUM(I1203+J1203)</f>
        <v>61150000</v>
      </c>
      <c r="L1203" s="27"/>
      <c r="M1203" s="863"/>
      <c r="N1203" s="48"/>
      <c r="O1203" s="61"/>
    </row>
    <row r="1204" spans="1:15" s="642" customFormat="1" x14ac:dyDescent="0.2">
      <c r="A1204" s="98"/>
      <c r="B1204" s="111"/>
      <c r="C1204" s="888"/>
      <c r="D1204" s="1027"/>
      <c r="E1204" s="1065"/>
      <c r="F1204" s="201"/>
      <c r="G1204" s="40"/>
      <c r="H1204" s="97" t="s">
        <v>776</v>
      </c>
      <c r="I1204" s="162">
        <f>SUM(I1202:I1203)</f>
        <v>62930000</v>
      </c>
      <c r="J1204" s="162"/>
      <c r="K1204" s="162">
        <f>SUM(K1202:K1203)</f>
        <v>62930000</v>
      </c>
      <c r="L1204" s="27"/>
      <c r="M1204" s="863"/>
      <c r="N1204" s="48"/>
      <c r="O1204" s="61"/>
    </row>
    <row r="1205" spans="1:15" s="642" customFormat="1" x14ac:dyDescent="0.2">
      <c r="A1205" s="100"/>
      <c r="B1205" s="787"/>
      <c r="C1205" s="120"/>
      <c r="D1205" s="100"/>
      <c r="E1205" s="246"/>
      <c r="F1205" s="41"/>
      <c r="G1205" s="41"/>
      <c r="H1205" s="138" t="s">
        <v>123</v>
      </c>
      <c r="I1205" s="163"/>
      <c r="J1205" s="163"/>
      <c r="K1205" s="164"/>
      <c r="L1205" s="48"/>
      <c r="M1205" s="863"/>
      <c r="N1205" s="1051"/>
      <c r="O1205" s="61"/>
    </row>
    <row r="1206" spans="1:15" s="642" customFormat="1" x14ac:dyDescent="0.2">
      <c r="A1206" s="99"/>
      <c r="B1206" s="111"/>
      <c r="C1206" s="119"/>
      <c r="D1206" s="99"/>
      <c r="E1206" s="176"/>
      <c r="F1206" s="1"/>
      <c r="G1206" s="38" t="s">
        <v>39</v>
      </c>
      <c r="H1206" s="90" t="s">
        <v>40</v>
      </c>
      <c r="I1206" s="160">
        <f>SUM(I1210-I1208-I1207-I1209)</f>
        <v>12234826.509999996</v>
      </c>
      <c r="J1206" s="160"/>
      <c r="K1206" s="160">
        <f>SUM(I1206:J1206)</f>
        <v>12234826.509999996</v>
      </c>
      <c r="L1206" s="48"/>
      <c r="M1206" s="48"/>
      <c r="N1206" s="1051"/>
      <c r="O1206" s="61"/>
    </row>
    <row r="1207" spans="1:15" s="642" customFormat="1" x14ac:dyDescent="0.2">
      <c r="A1207" s="99"/>
      <c r="B1207" s="111"/>
      <c r="C1207" s="119"/>
      <c r="D1207" s="99"/>
      <c r="E1207" s="176"/>
      <c r="F1207" s="1"/>
      <c r="G1207" s="38" t="s">
        <v>748</v>
      </c>
      <c r="H1207" s="90" t="s">
        <v>749</v>
      </c>
      <c r="I1207" s="160">
        <f>1375000+22500000</f>
        <v>23875000</v>
      </c>
      <c r="J1207" s="160"/>
      <c r="K1207" s="160">
        <f>SUM(I1207:J1207)</f>
        <v>23875000</v>
      </c>
      <c r="L1207" s="26"/>
      <c r="M1207" s="48"/>
      <c r="N1207" s="1051"/>
      <c r="O1207" s="61"/>
    </row>
    <row r="1208" spans="1:15" s="642" customFormat="1" x14ac:dyDescent="0.2">
      <c r="A1208" s="99"/>
      <c r="B1208" s="111"/>
      <c r="C1208" s="119"/>
      <c r="D1208" s="99"/>
      <c r="E1208" s="176"/>
      <c r="F1208" s="1"/>
      <c r="G1208" s="38" t="s">
        <v>157</v>
      </c>
      <c r="H1208" s="90" t="s">
        <v>354</v>
      </c>
      <c r="I1208" s="160">
        <v>18721549.09</v>
      </c>
      <c r="J1208" s="160"/>
      <c r="K1208" s="160">
        <f>SUM(I1208:J1208)</f>
        <v>18721549.09</v>
      </c>
      <c r="L1208" s="48"/>
      <c r="M1208" s="48"/>
      <c r="N1208" s="1051"/>
      <c r="O1208" s="61"/>
    </row>
    <row r="1209" spans="1:15" s="642" customFormat="1" x14ac:dyDescent="0.2">
      <c r="A1209" s="99"/>
      <c r="B1209" s="111"/>
      <c r="C1209" s="119"/>
      <c r="D1209" s="99"/>
      <c r="E1209" s="176"/>
      <c r="F1209" s="1"/>
      <c r="G1209" s="38" t="s">
        <v>1141</v>
      </c>
      <c r="H1209" s="90" t="s">
        <v>1142</v>
      </c>
      <c r="I1209" s="160">
        <v>8098624.4000000004</v>
      </c>
      <c r="J1209" s="160"/>
      <c r="K1209" s="160">
        <f>SUM(I1209:J1209)</f>
        <v>8098624.4000000004</v>
      </c>
      <c r="L1209" s="62"/>
      <c r="M1209" s="863"/>
      <c r="N1209" s="1051"/>
      <c r="O1209" s="61"/>
    </row>
    <row r="1210" spans="1:15" s="642" customFormat="1" x14ac:dyDescent="0.2">
      <c r="A1210" s="101"/>
      <c r="B1210" s="781"/>
      <c r="C1210" s="121"/>
      <c r="D1210" s="101"/>
      <c r="E1210" s="177"/>
      <c r="F1210" s="42"/>
      <c r="G1210" s="43"/>
      <c r="H1210" s="97" t="s">
        <v>124</v>
      </c>
      <c r="I1210" s="162">
        <f>SUM(I1204)</f>
        <v>62930000</v>
      </c>
      <c r="J1210" s="162"/>
      <c r="K1210" s="162">
        <f>SUM(I1210:I1210)</f>
        <v>62930000</v>
      </c>
      <c r="L1210" s="60"/>
      <c r="M1210" s="863"/>
      <c r="N1210" s="1051"/>
      <c r="O1210" s="61"/>
    </row>
    <row r="1211" spans="1:15" x14ac:dyDescent="0.2">
      <c r="A1211" s="103"/>
      <c r="B1211" s="113"/>
      <c r="C1211" s="122"/>
      <c r="D1211" s="103"/>
      <c r="E1211" s="250"/>
      <c r="F1211" s="46"/>
      <c r="G1211" s="64"/>
      <c r="H1211" s="55"/>
      <c r="I1211" s="59"/>
      <c r="J1211" s="223"/>
      <c r="K1211" s="373"/>
      <c r="L1211" s="361"/>
    </row>
    <row r="1212" spans="1:15" s="642" customFormat="1" x14ac:dyDescent="0.2">
      <c r="A1212" s="99"/>
      <c r="B1212" s="111"/>
      <c r="C1212" s="119"/>
      <c r="D1212" s="99"/>
      <c r="E1212" s="128"/>
      <c r="F1212" s="1"/>
      <c r="G1212" s="38"/>
      <c r="H1212" s="136" t="s">
        <v>396</v>
      </c>
      <c r="I1212" s="180"/>
      <c r="J1212" s="180"/>
      <c r="K1212" s="140"/>
      <c r="L1212" s="27"/>
      <c r="M1212" s="1223"/>
      <c r="N1212" s="61"/>
      <c r="O1212" s="61"/>
    </row>
    <row r="1213" spans="1:15" s="642" customFormat="1" x14ac:dyDescent="0.2">
      <c r="A1213" s="99"/>
      <c r="B1213" s="111"/>
      <c r="C1213" s="119"/>
      <c r="D1213" s="98"/>
      <c r="E1213" s="128" t="s">
        <v>303</v>
      </c>
      <c r="F1213" s="1"/>
      <c r="G1213" s="40"/>
      <c r="H1213" s="137" t="s">
        <v>815</v>
      </c>
      <c r="I1213" s="141"/>
      <c r="J1213" s="141"/>
      <c r="K1213" s="181"/>
      <c r="L1213" s="27"/>
      <c r="M1213" s="1223"/>
      <c r="N1213" s="61"/>
      <c r="O1213" s="61"/>
    </row>
    <row r="1214" spans="1:15" s="642" customFormat="1" x14ac:dyDescent="0.2">
      <c r="A1214" s="788"/>
      <c r="B1214" s="789"/>
      <c r="C1214" s="790"/>
      <c r="D1214" s="912"/>
      <c r="E1214" s="148"/>
      <c r="F1214" s="134"/>
      <c r="G1214" s="165"/>
      <c r="H1214" s="144"/>
      <c r="I1214" s="145"/>
      <c r="J1214" s="145"/>
      <c r="K1214" s="198"/>
      <c r="L1214" s="887"/>
      <c r="M1214" s="1223"/>
      <c r="N1214" s="61"/>
      <c r="O1214" s="61"/>
    </row>
    <row r="1215" spans="1:15" s="642" customFormat="1" x14ac:dyDescent="0.2">
      <c r="A1215" s="99"/>
      <c r="B1215" s="111"/>
      <c r="C1215" s="948" t="s">
        <v>125</v>
      </c>
      <c r="D1215" s="128"/>
      <c r="E1215" s="128"/>
      <c r="F1215" s="1"/>
      <c r="G1215" s="38"/>
      <c r="H1215" s="915" t="s">
        <v>126</v>
      </c>
      <c r="I1215" s="610"/>
      <c r="J1215" s="610"/>
      <c r="K1215" s="1068"/>
      <c r="L1215" s="27"/>
      <c r="M1215" s="1223"/>
      <c r="N1215" s="61"/>
      <c r="O1215" s="61"/>
    </row>
    <row r="1216" spans="1:15" s="642" customFormat="1" x14ac:dyDescent="0.2">
      <c r="A1216" s="99"/>
      <c r="B1216" s="111"/>
      <c r="C1216" s="119"/>
      <c r="D1216" s="99"/>
      <c r="E1216" s="176"/>
      <c r="F1216" s="124">
        <v>231</v>
      </c>
      <c r="G1216" s="95">
        <v>472</v>
      </c>
      <c r="H1216" s="90" t="s">
        <v>127</v>
      </c>
      <c r="I1216" s="241">
        <v>1500000</v>
      </c>
      <c r="J1216" s="187"/>
      <c r="K1216" s="187">
        <f>SUM(I1216+J1216)</f>
        <v>1500000</v>
      </c>
      <c r="L1216" s="27"/>
      <c r="M1216" s="1223"/>
      <c r="N1216" s="61"/>
      <c r="O1216" s="61"/>
    </row>
    <row r="1217" spans="1:15" s="642" customFormat="1" x14ac:dyDescent="0.2">
      <c r="A1217" s="94"/>
      <c r="B1217" s="112"/>
      <c r="C1217" s="119"/>
      <c r="D1217" s="99"/>
      <c r="E1217" s="176"/>
      <c r="F1217" s="124">
        <v>232</v>
      </c>
      <c r="G1217" s="95">
        <v>472</v>
      </c>
      <c r="H1217" s="90" t="s">
        <v>128</v>
      </c>
      <c r="I1217" s="241">
        <v>22000000</v>
      </c>
      <c r="J1217" s="187"/>
      <c r="K1217" s="187">
        <f>SUM(I1217+J1217)</f>
        <v>22000000</v>
      </c>
      <c r="L1217" s="27"/>
      <c r="M1217" s="1223"/>
      <c r="N1217" s="61"/>
      <c r="O1217" s="61"/>
    </row>
    <row r="1218" spans="1:15" s="893" customFormat="1" x14ac:dyDescent="0.2">
      <c r="A1218" s="99"/>
      <c r="B1218" s="111"/>
      <c r="C1218" s="119"/>
      <c r="D1218" s="99"/>
      <c r="E1218" s="176"/>
      <c r="F1218" s="124">
        <v>233</v>
      </c>
      <c r="G1218" s="95">
        <v>472</v>
      </c>
      <c r="H1218" s="90" t="s">
        <v>129</v>
      </c>
      <c r="I1218" s="241">
        <v>12000000</v>
      </c>
      <c r="J1218" s="187"/>
      <c r="K1218" s="187">
        <f>SUM(I1218+J1218)</f>
        <v>12000000</v>
      </c>
      <c r="L1218" s="27"/>
      <c r="M1218" s="1224"/>
      <c r="N1218" s="892"/>
      <c r="O1218" s="892"/>
    </row>
    <row r="1219" spans="1:15" s="642" customFormat="1" x14ac:dyDescent="0.2">
      <c r="A1219" s="99"/>
      <c r="B1219" s="111"/>
      <c r="C1219" s="119"/>
      <c r="D1219" s="99"/>
      <c r="E1219" s="176"/>
      <c r="F1219" s="124">
        <v>234</v>
      </c>
      <c r="G1219" s="95">
        <v>472</v>
      </c>
      <c r="H1219" s="90" t="s">
        <v>830</v>
      </c>
      <c r="I1219" s="1276">
        <v>2600000</v>
      </c>
      <c r="J1219" s="187"/>
      <c r="K1219" s="187">
        <f>SUM(I1219:J1219)</f>
        <v>2600000</v>
      </c>
      <c r="L1219" s="27"/>
      <c r="M1219" s="1223"/>
      <c r="N1219" s="61"/>
      <c r="O1219" s="61"/>
    </row>
    <row r="1220" spans="1:15" s="642" customFormat="1" ht="22.5" x14ac:dyDescent="0.2">
      <c r="A1220" s="99"/>
      <c r="B1220" s="111"/>
      <c r="C1220" s="119"/>
      <c r="D1220" s="99"/>
      <c r="E1220" s="176"/>
      <c r="F1220" s="124">
        <v>235</v>
      </c>
      <c r="G1220" s="95">
        <v>472</v>
      </c>
      <c r="H1220" s="17" t="s">
        <v>383</v>
      </c>
      <c r="I1220" s="241">
        <v>13100000</v>
      </c>
      <c r="J1220" s="187"/>
      <c r="K1220" s="187">
        <f>SUM(I1220+J1220)</f>
        <v>13100000</v>
      </c>
      <c r="L1220" s="27"/>
      <c r="M1220" s="1223"/>
      <c r="N1220" s="61"/>
      <c r="O1220" s="61"/>
    </row>
    <row r="1221" spans="1:15" s="642" customFormat="1" x14ac:dyDescent="0.2">
      <c r="A1221" s="101"/>
      <c r="B1221" s="781"/>
      <c r="C1221" s="121"/>
      <c r="D1221" s="101"/>
      <c r="E1221" s="177"/>
      <c r="F1221" s="42"/>
      <c r="G1221" s="42"/>
      <c r="H1221" s="97" t="s">
        <v>777</v>
      </c>
      <c r="I1221" s="179">
        <f>SUM(I1216:I1220)</f>
        <v>51200000</v>
      </c>
      <c r="J1221" s="179"/>
      <c r="K1221" s="179">
        <f>SUM(K1216:K1220)</f>
        <v>51200000</v>
      </c>
      <c r="L1221" s="27"/>
      <c r="M1221" s="1223"/>
      <c r="N1221" s="61"/>
      <c r="O1221" s="61"/>
    </row>
    <row r="1222" spans="1:15" s="642" customFormat="1" x14ac:dyDescent="0.2">
      <c r="A1222" s="100"/>
      <c r="B1222" s="787"/>
      <c r="C1222" s="120"/>
      <c r="D1222" s="100"/>
      <c r="E1222" s="246"/>
      <c r="F1222" s="41"/>
      <c r="G1222" s="41"/>
      <c r="H1222" s="138" t="s">
        <v>131</v>
      </c>
      <c r="I1222" s="287"/>
      <c r="J1222" s="287"/>
      <c r="K1222" s="894"/>
      <c r="L1222" s="27"/>
      <c r="M1222" s="1223"/>
      <c r="N1222" s="61"/>
      <c r="O1222" s="61"/>
    </row>
    <row r="1223" spans="1:15" s="642" customFormat="1" x14ac:dyDescent="0.2">
      <c r="A1223" s="99"/>
      <c r="B1223" s="111"/>
      <c r="C1223" s="119"/>
      <c r="D1223" s="99"/>
      <c r="E1223" s="176"/>
      <c r="F1223" s="1"/>
      <c r="G1223" s="38" t="s">
        <v>39</v>
      </c>
      <c r="H1223" s="90" t="s">
        <v>40</v>
      </c>
      <c r="I1223" s="187">
        <f>SUM(I1225-I1224)</f>
        <v>49100000</v>
      </c>
      <c r="J1223" s="187"/>
      <c r="K1223" s="187">
        <f>SUM(I1223+J1223)</f>
        <v>49100000</v>
      </c>
      <c r="L1223" s="27"/>
      <c r="M1223" s="1223"/>
      <c r="N1223" s="61"/>
      <c r="O1223" s="61"/>
    </row>
    <row r="1224" spans="1:15" s="642" customFormat="1" x14ac:dyDescent="0.2">
      <c r="A1224" s="99"/>
      <c r="B1224" s="111"/>
      <c r="C1224" s="119"/>
      <c r="D1224" s="99"/>
      <c r="E1224" s="176"/>
      <c r="F1224" s="1"/>
      <c r="G1224" s="38" t="s">
        <v>157</v>
      </c>
      <c r="H1224" s="90" t="s">
        <v>354</v>
      </c>
      <c r="I1224" s="187">
        <v>2100000</v>
      </c>
      <c r="J1224" s="187"/>
      <c r="K1224" s="187">
        <f>SUM(I1224:J1224)</f>
        <v>2100000</v>
      </c>
      <c r="L1224" s="27"/>
      <c r="M1224" s="1223"/>
      <c r="N1224" s="61"/>
      <c r="O1224" s="61"/>
    </row>
    <row r="1225" spans="1:15" s="642" customFormat="1" x14ac:dyDescent="0.2">
      <c r="A1225" s="101"/>
      <c r="B1225" s="781"/>
      <c r="C1225" s="121"/>
      <c r="D1225" s="101"/>
      <c r="E1225" s="177"/>
      <c r="F1225" s="42"/>
      <c r="G1225" s="43"/>
      <c r="H1225" s="97" t="s">
        <v>132</v>
      </c>
      <c r="I1225" s="162">
        <f>SUM(I1221)</f>
        <v>51200000</v>
      </c>
      <c r="J1225" s="162"/>
      <c r="K1225" s="162">
        <f>SUM(I1225:J1225)</f>
        <v>51200000</v>
      </c>
      <c r="L1225" s="27"/>
      <c r="M1225" s="1223"/>
      <c r="N1225" s="61"/>
      <c r="O1225" s="61"/>
    </row>
    <row r="1226" spans="1:15" x14ac:dyDescent="0.2">
      <c r="A1226" s="103"/>
      <c r="B1226" s="113"/>
      <c r="C1226" s="122"/>
      <c r="D1226" s="103"/>
      <c r="E1226" s="250"/>
      <c r="F1226" s="46"/>
      <c r="G1226" s="46"/>
      <c r="H1226" s="404"/>
      <c r="I1226" s="231"/>
      <c r="J1226" s="231"/>
      <c r="K1226" s="409"/>
    </row>
    <row r="1227" spans="1:15" s="642" customFormat="1" x14ac:dyDescent="0.2">
      <c r="A1227" s="99"/>
      <c r="B1227" s="111"/>
      <c r="C1227" s="119"/>
      <c r="D1227" s="99"/>
      <c r="E1227" s="128"/>
      <c r="F1227" s="1"/>
      <c r="G1227" s="38"/>
      <c r="H1227" s="136" t="s">
        <v>294</v>
      </c>
      <c r="I1227" s="180"/>
      <c r="J1227" s="180"/>
      <c r="K1227" s="140"/>
      <c r="L1227" s="27"/>
      <c r="M1227" s="1223"/>
      <c r="N1227" s="61"/>
      <c r="O1227" s="61"/>
    </row>
    <row r="1228" spans="1:15" s="642" customFormat="1" x14ac:dyDescent="0.2">
      <c r="A1228" s="99"/>
      <c r="B1228" s="111"/>
      <c r="C1228" s="119"/>
      <c r="D1228" s="98"/>
      <c r="E1228" s="128" t="s">
        <v>304</v>
      </c>
      <c r="F1228" s="1"/>
      <c r="G1228" s="40"/>
      <c r="H1228" s="137" t="s">
        <v>816</v>
      </c>
      <c r="I1228" s="141"/>
      <c r="J1228" s="141"/>
      <c r="K1228" s="181"/>
      <c r="L1228" s="27"/>
      <c r="M1228" s="1223"/>
      <c r="N1228" s="61"/>
      <c r="O1228" s="61"/>
    </row>
    <row r="1229" spans="1:15" s="642" customFormat="1" x14ac:dyDescent="0.2">
      <c r="A1229" s="94"/>
      <c r="B1229" s="112"/>
      <c r="C1229" s="119"/>
      <c r="D1229" s="94"/>
      <c r="E1229" s="176"/>
      <c r="F1229" s="1"/>
      <c r="G1229" s="40"/>
      <c r="H1229" s="50"/>
      <c r="I1229" s="48"/>
      <c r="J1229" s="48"/>
      <c r="K1229" s="205"/>
      <c r="L1229" s="27"/>
      <c r="M1229" s="1223"/>
      <c r="N1229" s="61"/>
      <c r="O1229" s="61"/>
    </row>
    <row r="1230" spans="1:15" s="642" customFormat="1" x14ac:dyDescent="0.2">
      <c r="A1230" s="94"/>
      <c r="B1230" s="112"/>
      <c r="C1230" s="948" t="s">
        <v>133</v>
      </c>
      <c r="D1230" s="128"/>
      <c r="E1230" s="128"/>
      <c r="F1230" s="1"/>
      <c r="G1230" s="40"/>
      <c r="H1230" s="168" t="s">
        <v>134</v>
      </c>
      <c r="I1230" s="611"/>
      <c r="J1230" s="611"/>
      <c r="K1230" s="916"/>
      <c r="L1230" s="27"/>
      <c r="M1230" s="1223"/>
      <c r="N1230" s="61"/>
      <c r="O1230" s="61"/>
    </row>
    <row r="1231" spans="1:15" s="642" customFormat="1" x14ac:dyDescent="0.2">
      <c r="A1231" s="94"/>
      <c r="B1231" s="112"/>
      <c r="C1231" s="948"/>
      <c r="D1231" s="128"/>
      <c r="E1231" s="128"/>
      <c r="F1231" s="1"/>
      <c r="G1231" s="40"/>
      <c r="H1231" s="56"/>
      <c r="I1231" s="611"/>
      <c r="J1231" s="611"/>
      <c r="K1231" s="916"/>
      <c r="L1231" s="27"/>
      <c r="M1231" s="1223"/>
      <c r="N1231" s="61"/>
      <c r="O1231" s="61"/>
    </row>
    <row r="1232" spans="1:15" s="642" customFormat="1" x14ac:dyDescent="0.2">
      <c r="A1232" s="99"/>
      <c r="B1232" s="111"/>
      <c r="C1232" s="119"/>
      <c r="D1232" s="99"/>
      <c r="E1232" s="176"/>
      <c r="F1232" s="124">
        <v>236</v>
      </c>
      <c r="G1232" s="95">
        <v>472</v>
      </c>
      <c r="H1232" s="90" t="s">
        <v>135</v>
      </c>
      <c r="I1232" s="160">
        <v>500000</v>
      </c>
      <c r="J1232" s="160"/>
      <c r="K1232" s="160">
        <f>SUM(I1232:I1232)</f>
        <v>500000</v>
      </c>
      <c r="L1232" s="27"/>
      <c r="M1232" s="1223"/>
      <c r="N1232" s="61"/>
      <c r="O1232" s="61"/>
    </row>
    <row r="1233" spans="1:15" s="642" customFormat="1" x14ac:dyDescent="0.2">
      <c r="A1233" s="99"/>
      <c r="B1233" s="111"/>
      <c r="C1233" s="119"/>
      <c r="D1233" s="99"/>
      <c r="E1233" s="176"/>
      <c r="F1233" s="1"/>
      <c r="G1233" s="1"/>
      <c r="H1233" s="97" t="s">
        <v>778</v>
      </c>
      <c r="I1233" s="162">
        <f>SUM(I1232)</f>
        <v>500000</v>
      </c>
      <c r="J1233" s="192"/>
      <c r="K1233" s="162">
        <f>SUM(I1233:I1233)</f>
        <v>500000</v>
      </c>
      <c r="L1233" s="27"/>
      <c r="M1233" s="1223"/>
      <c r="N1233" s="61"/>
      <c r="O1233" s="61"/>
    </row>
    <row r="1234" spans="1:15" s="642" customFormat="1" x14ac:dyDescent="0.2">
      <c r="A1234" s="100"/>
      <c r="B1234" s="787"/>
      <c r="C1234" s="120"/>
      <c r="D1234" s="100"/>
      <c r="E1234" s="246"/>
      <c r="F1234" s="41"/>
      <c r="G1234" s="41"/>
      <c r="H1234" s="138" t="s">
        <v>136</v>
      </c>
      <c r="I1234" s="163"/>
      <c r="J1234" s="163"/>
      <c r="K1234" s="164"/>
      <c r="L1234" s="27"/>
      <c r="M1234" s="1223"/>
      <c r="N1234" s="61"/>
      <c r="O1234" s="61"/>
    </row>
    <row r="1235" spans="1:15" s="642" customFormat="1" x14ac:dyDescent="0.2">
      <c r="A1235" s="99"/>
      <c r="B1235" s="111"/>
      <c r="C1235" s="119"/>
      <c r="D1235" s="99"/>
      <c r="E1235" s="176"/>
      <c r="F1235" s="1"/>
      <c r="G1235" s="38" t="s">
        <v>39</v>
      </c>
      <c r="H1235" s="90" t="s">
        <v>40</v>
      </c>
      <c r="I1235" s="160">
        <f>SUM(I1233)</f>
        <v>500000</v>
      </c>
      <c r="J1235" s="160"/>
      <c r="K1235" s="160">
        <f>SUM(I1235:I1235)</f>
        <v>500000</v>
      </c>
      <c r="L1235" s="27"/>
      <c r="M1235" s="1223"/>
      <c r="N1235" s="61"/>
      <c r="O1235" s="61"/>
    </row>
    <row r="1236" spans="1:15" s="642" customFormat="1" x14ac:dyDescent="0.2">
      <c r="A1236" s="101"/>
      <c r="B1236" s="781"/>
      <c r="C1236" s="121"/>
      <c r="D1236" s="101"/>
      <c r="E1236" s="177"/>
      <c r="F1236" s="42"/>
      <c r="G1236" s="43"/>
      <c r="H1236" s="97" t="s">
        <v>137</v>
      </c>
      <c r="I1236" s="162">
        <f>SUM(I1235)</f>
        <v>500000</v>
      </c>
      <c r="J1236" s="192"/>
      <c r="K1236" s="162">
        <f>SUM(I1236:I1236)</f>
        <v>500000</v>
      </c>
      <c r="L1236" s="27"/>
      <c r="M1236" s="1223"/>
      <c r="N1236" s="61"/>
      <c r="O1236" s="61"/>
    </row>
    <row r="1237" spans="1:15" x14ac:dyDescent="0.2">
      <c r="A1237" s="103"/>
      <c r="B1237" s="113"/>
      <c r="C1237" s="122"/>
      <c r="D1237" s="103"/>
      <c r="E1237" s="250"/>
      <c r="F1237" s="46"/>
      <c r="G1237" s="64"/>
      <c r="H1237" s="55"/>
      <c r="I1237" s="59"/>
      <c r="J1237" s="223"/>
      <c r="K1237" s="373"/>
    </row>
    <row r="1238" spans="1:15" s="642" customFormat="1" x14ac:dyDescent="0.2">
      <c r="A1238" s="101"/>
      <c r="B1238" s="781"/>
      <c r="C1238" s="121"/>
      <c r="D1238" s="101"/>
      <c r="E1238" s="249"/>
      <c r="F1238" s="42"/>
      <c r="G1238" s="43"/>
      <c r="H1238" s="1069" t="s">
        <v>337</v>
      </c>
      <c r="I1238" s="1070"/>
      <c r="J1238" s="1070"/>
      <c r="K1238" s="1071"/>
      <c r="L1238" s="27"/>
      <c r="M1238" s="1223"/>
      <c r="N1238" s="61"/>
      <c r="O1238" s="61"/>
    </row>
    <row r="1239" spans="1:15" s="642" customFormat="1" x14ac:dyDescent="0.2">
      <c r="A1239" s="100"/>
      <c r="B1239" s="787"/>
      <c r="C1239" s="120"/>
      <c r="D1239" s="975"/>
      <c r="E1239" s="976" t="s">
        <v>305</v>
      </c>
      <c r="F1239" s="41"/>
      <c r="G1239" s="1072"/>
      <c r="H1239" s="1069" t="s">
        <v>552</v>
      </c>
      <c r="I1239" s="1070"/>
      <c r="J1239" s="1070"/>
      <c r="K1239" s="1071"/>
      <c r="L1239" s="27"/>
      <c r="M1239" s="1223"/>
      <c r="N1239" s="61"/>
      <c r="O1239" s="61"/>
    </row>
    <row r="1240" spans="1:15" s="642" customFormat="1" x14ac:dyDescent="0.2">
      <c r="A1240" s="99"/>
      <c r="B1240" s="111"/>
      <c r="C1240" s="119"/>
      <c r="D1240" s="98"/>
      <c r="E1240" s="128"/>
      <c r="F1240" s="1"/>
      <c r="G1240" s="40"/>
      <c r="H1240" s="44"/>
      <c r="I1240" s="48"/>
      <c r="J1240" s="48"/>
      <c r="K1240" s="199"/>
      <c r="L1240" s="27"/>
      <c r="M1240" s="1223"/>
      <c r="N1240" s="61"/>
      <c r="O1240" s="61"/>
    </row>
    <row r="1241" spans="1:15" s="642" customFormat="1" x14ac:dyDescent="0.2">
      <c r="A1241" s="94"/>
      <c r="B1241" s="112"/>
      <c r="C1241" s="948" t="s">
        <v>120</v>
      </c>
      <c r="D1241" s="128"/>
      <c r="E1241" s="128"/>
      <c r="F1241" s="1"/>
      <c r="G1241" s="39"/>
      <c r="H1241" s="169" t="s">
        <v>121</v>
      </c>
      <c r="I1241" s="611"/>
      <c r="J1241" s="611"/>
      <c r="K1241" s="916"/>
      <c r="L1241" s="27"/>
      <c r="M1241" s="1223"/>
      <c r="N1241" s="61"/>
      <c r="O1241" s="61"/>
    </row>
    <row r="1242" spans="1:15" s="642" customFormat="1" x14ac:dyDescent="0.2">
      <c r="A1242" s="99"/>
      <c r="B1242" s="111"/>
      <c r="C1242" s="948"/>
      <c r="D1242" s="128"/>
      <c r="E1242" s="128"/>
      <c r="F1242" s="1"/>
      <c r="G1242" s="39"/>
      <c r="H1242" s="1073" t="s">
        <v>122</v>
      </c>
      <c r="I1242" s="48"/>
      <c r="J1242" s="48"/>
      <c r="K1242" s="205"/>
      <c r="L1242" s="27"/>
      <c r="M1242" s="1223"/>
      <c r="N1242" s="61"/>
      <c r="O1242" s="61"/>
    </row>
    <row r="1243" spans="1:15" s="642" customFormat="1" x14ac:dyDescent="0.2">
      <c r="A1243" s="99"/>
      <c r="B1243" s="111"/>
      <c r="C1243" s="119"/>
      <c r="D1243" s="99"/>
      <c r="E1243" s="176"/>
      <c r="F1243" s="124">
        <v>237</v>
      </c>
      <c r="G1243" s="95">
        <v>472</v>
      </c>
      <c r="H1243" s="90" t="s">
        <v>411</v>
      </c>
      <c r="I1243" s="160">
        <v>5000000</v>
      </c>
      <c r="J1243" s="160"/>
      <c r="K1243" s="160">
        <f>SUM(I1243+J1243)</f>
        <v>5000000</v>
      </c>
      <c r="L1243" s="27"/>
      <c r="M1243" s="1223"/>
      <c r="N1243" s="61"/>
      <c r="O1243" s="61"/>
    </row>
    <row r="1244" spans="1:15" s="642" customFormat="1" x14ac:dyDescent="0.2">
      <c r="A1244" s="99"/>
      <c r="B1244" s="111"/>
      <c r="C1244" s="888"/>
      <c r="D1244" s="1027"/>
      <c r="E1244" s="1065"/>
      <c r="F1244" s="201"/>
      <c r="G1244" s="40"/>
      <c r="H1244" s="97" t="s">
        <v>754</v>
      </c>
      <c r="I1244" s="162">
        <f>SUM(I1243)</f>
        <v>5000000</v>
      </c>
      <c r="J1244" s="192"/>
      <c r="K1244" s="162">
        <f t="shared" ref="K1244" si="79">SUM(K1243)</f>
        <v>5000000</v>
      </c>
      <c r="L1244" s="27"/>
      <c r="M1244" s="1223"/>
      <c r="N1244" s="61"/>
      <c r="O1244" s="61"/>
    </row>
    <row r="1245" spans="1:15" s="642" customFormat="1" x14ac:dyDescent="0.2">
      <c r="A1245" s="100"/>
      <c r="B1245" s="787"/>
      <c r="C1245" s="120"/>
      <c r="D1245" s="100"/>
      <c r="E1245" s="246"/>
      <c r="F1245" s="41"/>
      <c r="G1245" s="41"/>
      <c r="H1245" s="138" t="s">
        <v>123</v>
      </c>
      <c r="I1245" s="163"/>
      <c r="J1245" s="163"/>
      <c r="K1245" s="164"/>
      <c r="L1245" s="27"/>
      <c r="M1245" s="1223"/>
      <c r="N1245" s="61"/>
      <c r="O1245" s="61"/>
    </row>
    <row r="1246" spans="1:15" s="642" customFormat="1" x14ac:dyDescent="0.2">
      <c r="A1246" s="99"/>
      <c r="B1246" s="111"/>
      <c r="C1246" s="119"/>
      <c r="D1246" s="99"/>
      <c r="E1246" s="176"/>
      <c r="F1246" s="1"/>
      <c r="G1246" s="38" t="s">
        <v>39</v>
      </c>
      <c r="H1246" s="90" t="s">
        <v>40</v>
      </c>
      <c r="I1246" s="160">
        <f>SUM(I1244)</f>
        <v>5000000</v>
      </c>
      <c r="J1246" s="160"/>
      <c r="K1246" s="160">
        <f>SUM(I1246+J1246)</f>
        <v>5000000</v>
      </c>
      <c r="L1246" s="27"/>
      <c r="M1246" s="1223"/>
      <c r="N1246" s="61"/>
      <c r="O1246" s="61"/>
    </row>
    <row r="1247" spans="1:15" s="642" customFormat="1" x14ac:dyDescent="0.2">
      <c r="A1247" s="101"/>
      <c r="B1247" s="781"/>
      <c r="C1247" s="121"/>
      <c r="D1247" s="101"/>
      <c r="E1247" s="177"/>
      <c r="F1247" s="42"/>
      <c r="G1247" s="43"/>
      <c r="H1247" s="97" t="s">
        <v>124</v>
      </c>
      <c r="I1247" s="162">
        <f>SUM(I1246)</f>
        <v>5000000</v>
      </c>
      <c r="J1247" s="192"/>
      <c r="K1247" s="162">
        <f>SUM(I1247:I1247)</f>
        <v>5000000</v>
      </c>
      <c r="L1247" s="27"/>
      <c r="M1247" s="1223"/>
      <c r="N1247" s="61"/>
      <c r="O1247" s="61"/>
    </row>
    <row r="1248" spans="1:15" s="642" customFormat="1" x14ac:dyDescent="0.2">
      <c r="A1248" s="99"/>
      <c r="B1248" s="111"/>
      <c r="C1248" s="119"/>
      <c r="D1248" s="99"/>
      <c r="E1248" s="176"/>
      <c r="F1248" s="1"/>
      <c r="G1248" s="38"/>
      <c r="H1248" s="44"/>
      <c r="I1248" s="47"/>
      <c r="J1248" s="48"/>
      <c r="K1248" s="199"/>
      <c r="L1248" s="27"/>
      <c r="M1248" s="1223"/>
      <c r="N1248" s="61"/>
      <c r="O1248" s="61"/>
    </row>
    <row r="1249" spans="1:15" s="642" customFormat="1" x14ac:dyDescent="0.2">
      <c r="A1249" s="99"/>
      <c r="B1249" s="111"/>
      <c r="C1249" s="948" t="s">
        <v>125</v>
      </c>
      <c r="D1249" s="128"/>
      <c r="E1249" s="128"/>
      <c r="F1249" s="1"/>
      <c r="G1249" s="38"/>
      <c r="H1249" s="138" t="s">
        <v>126</v>
      </c>
      <c r="I1249" s="287"/>
      <c r="J1249" s="287"/>
      <c r="K1249" s="182"/>
      <c r="L1249" s="27"/>
      <c r="M1249" s="1223"/>
      <c r="N1249" s="61"/>
      <c r="O1249" s="61"/>
    </row>
    <row r="1250" spans="1:15" x14ac:dyDescent="0.2">
      <c r="A1250" s="103"/>
      <c r="B1250" s="113"/>
      <c r="C1250" s="394"/>
      <c r="D1250" s="213"/>
      <c r="E1250" s="213"/>
      <c r="F1250" s="46"/>
      <c r="G1250" s="64"/>
      <c r="H1250" s="55"/>
      <c r="I1250" s="226"/>
      <c r="J1250" s="226"/>
      <c r="K1250" s="384"/>
    </row>
    <row r="1251" spans="1:15" s="642" customFormat="1" ht="15" x14ac:dyDescent="0.2">
      <c r="A1251" s="99"/>
      <c r="B1251" s="111"/>
      <c r="C1251" s="978"/>
      <c r="D1251" s="99"/>
      <c r="E1251" s="176"/>
      <c r="F1251" s="1"/>
      <c r="G1251" s="1"/>
      <c r="H1251" s="1074" t="s">
        <v>384</v>
      </c>
      <c r="I1251" s="286"/>
      <c r="J1251" s="158"/>
      <c r="K1251" s="159"/>
      <c r="L1251" s="27"/>
      <c r="M1251" s="1223"/>
      <c r="N1251" s="61"/>
      <c r="O1251" s="61"/>
    </row>
    <row r="1252" spans="1:15" s="642" customFormat="1" ht="15" x14ac:dyDescent="0.2">
      <c r="A1252" s="99"/>
      <c r="B1252" s="111"/>
      <c r="C1252" s="978"/>
      <c r="D1252" s="99"/>
      <c r="E1252" s="176"/>
      <c r="F1252" s="124">
        <v>238</v>
      </c>
      <c r="G1252" s="95">
        <v>472</v>
      </c>
      <c r="H1252" s="90" t="s">
        <v>130</v>
      </c>
      <c r="I1252" s="1280">
        <v>4000000</v>
      </c>
      <c r="J1252" s="151"/>
      <c r="K1252" s="151">
        <f>SUM(I1252+J1252)</f>
        <v>4000000</v>
      </c>
      <c r="L1252" s="27"/>
      <c r="M1252" s="1223"/>
      <c r="N1252" s="61"/>
      <c r="O1252" s="61"/>
    </row>
    <row r="1253" spans="1:15" s="642" customFormat="1" ht="15" x14ac:dyDescent="0.2">
      <c r="A1253" s="99"/>
      <c r="B1253" s="111"/>
      <c r="C1253" s="978"/>
      <c r="D1253" s="1027"/>
      <c r="E1253" s="1065"/>
      <c r="F1253" s="201"/>
      <c r="G1253" s="40"/>
      <c r="H1253" s="97" t="s">
        <v>779</v>
      </c>
      <c r="I1253" s="505">
        <f>SUM(I1252)</f>
        <v>4000000</v>
      </c>
      <c r="J1253" s="979"/>
      <c r="K1253" s="170">
        <f>SUM(I1253+J1253)</f>
        <v>4000000</v>
      </c>
      <c r="L1253" s="27"/>
      <c r="M1253" s="1223"/>
      <c r="N1253" s="61"/>
      <c r="O1253" s="61"/>
    </row>
    <row r="1254" spans="1:15" s="642" customFormat="1" x14ac:dyDescent="0.2">
      <c r="A1254" s="100"/>
      <c r="B1254" s="787"/>
      <c r="C1254" s="120"/>
      <c r="D1254" s="100"/>
      <c r="E1254" s="246"/>
      <c r="F1254" s="41"/>
      <c r="G1254" s="41"/>
      <c r="H1254" s="138" t="s">
        <v>131</v>
      </c>
      <c r="I1254" s="859"/>
      <c r="J1254" s="859"/>
      <c r="K1254" s="860"/>
      <c r="L1254" s="27"/>
      <c r="M1254" s="1223"/>
      <c r="N1254" s="61"/>
      <c r="O1254" s="61"/>
    </row>
    <row r="1255" spans="1:15" s="642" customFormat="1" x14ac:dyDescent="0.2">
      <c r="A1255" s="99"/>
      <c r="B1255" s="111"/>
      <c r="C1255" s="119"/>
      <c r="D1255" s="99"/>
      <c r="E1255" s="176"/>
      <c r="F1255" s="1"/>
      <c r="G1255" s="38" t="s">
        <v>39</v>
      </c>
      <c r="H1255" s="90" t="s">
        <v>40</v>
      </c>
      <c r="I1255" s="133">
        <f>SUM(I1253)</f>
        <v>4000000</v>
      </c>
      <c r="J1255" s="133"/>
      <c r="K1255" s="133">
        <f>SUM(I1255+J1255)</f>
        <v>4000000</v>
      </c>
      <c r="L1255" s="27"/>
      <c r="M1255" s="1223"/>
      <c r="N1255" s="61"/>
      <c r="O1255" s="61"/>
    </row>
    <row r="1256" spans="1:15" s="642" customFormat="1" x14ac:dyDescent="0.2">
      <c r="A1256" s="101"/>
      <c r="B1256" s="781"/>
      <c r="C1256" s="121"/>
      <c r="D1256" s="101"/>
      <c r="E1256" s="177"/>
      <c r="F1256" s="42"/>
      <c r="G1256" s="43"/>
      <c r="H1256" s="97" t="s">
        <v>132</v>
      </c>
      <c r="I1256" s="170">
        <f>SUM(I1255)</f>
        <v>4000000</v>
      </c>
      <c r="J1256" s="170"/>
      <c r="K1256" s="170">
        <f t="shared" ref="K1256" si="80">SUM(K1255)</f>
        <v>4000000</v>
      </c>
      <c r="L1256" s="27"/>
      <c r="M1256" s="1223"/>
      <c r="N1256" s="61"/>
      <c r="O1256" s="61"/>
    </row>
    <row r="1257" spans="1:15" s="642" customFormat="1" x14ac:dyDescent="0.2">
      <c r="A1257" s="99"/>
      <c r="B1257" s="111"/>
      <c r="C1257" s="119"/>
      <c r="D1257" s="99"/>
      <c r="E1257" s="176"/>
      <c r="F1257" s="1"/>
      <c r="G1257" s="38"/>
      <c r="H1257" s="44"/>
      <c r="I1257" s="863"/>
      <c r="J1257" s="863"/>
      <c r="K1257" s="864"/>
      <c r="L1257" s="27"/>
      <c r="M1257" s="1223"/>
      <c r="N1257" s="61"/>
      <c r="O1257" s="61"/>
    </row>
    <row r="1258" spans="1:15" s="642" customFormat="1" x14ac:dyDescent="0.2">
      <c r="A1258" s="99"/>
      <c r="B1258" s="111"/>
      <c r="C1258" s="948" t="s">
        <v>125</v>
      </c>
      <c r="D1258" s="128"/>
      <c r="E1258" s="128"/>
      <c r="F1258" s="1"/>
      <c r="G1258" s="38"/>
      <c r="H1258" s="138" t="s">
        <v>126</v>
      </c>
      <c r="I1258" s="1075"/>
      <c r="J1258" s="1075"/>
      <c r="K1258" s="1060"/>
      <c r="L1258" s="27"/>
      <c r="M1258" s="1223"/>
      <c r="N1258" s="61"/>
      <c r="O1258" s="61"/>
    </row>
    <row r="1259" spans="1:15" s="642" customFormat="1" x14ac:dyDescent="0.2">
      <c r="A1259" s="99"/>
      <c r="B1259" s="111"/>
      <c r="C1259" s="948"/>
      <c r="D1259" s="128"/>
      <c r="E1259" s="128"/>
      <c r="F1259" s="1"/>
      <c r="G1259" s="38"/>
      <c r="H1259" s="44"/>
      <c r="I1259" s="31"/>
      <c r="J1259" s="31"/>
      <c r="K1259" s="907"/>
      <c r="L1259" s="27"/>
      <c r="M1259" s="1223"/>
      <c r="N1259" s="61"/>
      <c r="O1259" s="61"/>
    </row>
    <row r="1260" spans="1:15" s="642" customFormat="1" ht="15" x14ac:dyDescent="0.2">
      <c r="A1260" s="99"/>
      <c r="B1260" s="111"/>
      <c r="C1260" s="978"/>
      <c r="D1260" s="99"/>
      <c r="E1260" s="176"/>
      <c r="F1260" s="1"/>
      <c r="G1260" s="1"/>
      <c r="H1260" s="1074" t="s">
        <v>715</v>
      </c>
      <c r="I1260" s="286"/>
      <c r="J1260" s="158"/>
      <c r="K1260" s="159"/>
      <c r="L1260" s="27"/>
      <c r="M1260" s="1223"/>
      <c r="N1260" s="61"/>
      <c r="O1260" s="61"/>
    </row>
    <row r="1261" spans="1:15" s="642" customFormat="1" ht="22.5" x14ac:dyDescent="0.2">
      <c r="A1261" s="99"/>
      <c r="B1261" s="111"/>
      <c r="C1261" s="978"/>
      <c r="D1261" s="99"/>
      <c r="E1261" s="176"/>
      <c r="F1261" s="124">
        <v>239</v>
      </c>
      <c r="G1261" s="95">
        <v>472</v>
      </c>
      <c r="H1261" s="17" t="s">
        <v>716</v>
      </c>
      <c r="I1261" s="1280">
        <v>1500000</v>
      </c>
      <c r="J1261" s="151"/>
      <c r="K1261" s="151">
        <f>SUM(I1261+J1261)</f>
        <v>1500000</v>
      </c>
      <c r="L1261" s="27"/>
      <c r="M1261" s="1223"/>
      <c r="N1261" s="61"/>
      <c r="O1261" s="61"/>
    </row>
    <row r="1262" spans="1:15" s="642" customFormat="1" ht="15" x14ac:dyDescent="0.2">
      <c r="A1262" s="99"/>
      <c r="B1262" s="111"/>
      <c r="C1262" s="978"/>
      <c r="D1262" s="1027"/>
      <c r="E1262" s="1065"/>
      <c r="F1262" s="201"/>
      <c r="G1262" s="40"/>
      <c r="H1262" s="97" t="s">
        <v>780</v>
      </c>
      <c r="I1262" s="505">
        <f>SUM(I1261)</f>
        <v>1500000</v>
      </c>
      <c r="J1262" s="979"/>
      <c r="K1262" s="170">
        <f>SUM(I1262+J1262)</f>
        <v>1500000</v>
      </c>
      <c r="L1262" s="27"/>
      <c r="M1262" s="1223"/>
      <c r="N1262" s="61"/>
      <c r="O1262" s="61"/>
    </row>
    <row r="1263" spans="1:15" s="642" customFormat="1" x14ac:dyDescent="0.2">
      <c r="A1263" s="100"/>
      <c r="B1263" s="787"/>
      <c r="C1263" s="120"/>
      <c r="D1263" s="100"/>
      <c r="E1263" s="246"/>
      <c r="F1263" s="41"/>
      <c r="G1263" s="41"/>
      <c r="H1263" s="138" t="s">
        <v>131</v>
      </c>
      <c r="I1263" s="859"/>
      <c r="J1263" s="859"/>
      <c r="K1263" s="860"/>
      <c r="L1263" s="27"/>
      <c r="M1263" s="1223"/>
      <c r="N1263" s="61"/>
      <c r="O1263" s="61"/>
    </row>
    <row r="1264" spans="1:15" s="642" customFormat="1" x14ac:dyDescent="0.2">
      <c r="A1264" s="99"/>
      <c r="B1264" s="111"/>
      <c r="C1264" s="119"/>
      <c r="D1264" s="99"/>
      <c r="E1264" s="176"/>
      <c r="F1264" s="1"/>
      <c r="G1264" s="38" t="s">
        <v>39</v>
      </c>
      <c r="H1264" s="90" t="s">
        <v>40</v>
      </c>
      <c r="I1264" s="133">
        <f>SUM(I1262)</f>
        <v>1500000</v>
      </c>
      <c r="J1264" s="133"/>
      <c r="K1264" s="133">
        <f>SUM(I1264+J1264)</f>
        <v>1500000</v>
      </c>
      <c r="L1264" s="27"/>
      <c r="M1264" s="1223"/>
      <c r="N1264" s="61"/>
      <c r="O1264" s="61"/>
    </row>
    <row r="1265" spans="1:15" s="642" customFormat="1" x14ac:dyDescent="0.2">
      <c r="A1265" s="101"/>
      <c r="B1265" s="781"/>
      <c r="C1265" s="121"/>
      <c r="D1265" s="101"/>
      <c r="E1265" s="177"/>
      <c r="F1265" s="42"/>
      <c r="G1265" s="43"/>
      <c r="H1265" s="97" t="s">
        <v>132</v>
      </c>
      <c r="I1265" s="170">
        <f>SUM(I1264)</f>
        <v>1500000</v>
      </c>
      <c r="J1265" s="170"/>
      <c r="K1265" s="170">
        <f t="shared" ref="K1265" si="81">SUM(K1264)</f>
        <v>1500000</v>
      </c>
      <c r="L1265" s="27"/>
      <c r="M1265" s="1223"/>
      <c r="N1265" s="61"/>
      <c r="O1265" s="61"/>
    </row>
    <row r="1266" spans="1:15" s="642" customFormat="1" x14ac:dyDescent="0.2">
      <c r="A1266" s="99"/>
      <c r="B1266" s="111"/>
      <c r="C1266" s="119"/>
      <c r="D1266" s="99"/>
      <c r="E1266" s="176"/>
      <c r="F1266" s="1"/>
      <c r="G1266" s="38"/>
      <c r="H1266" s="44"/>
      <c r="I1266" s="863"/>
      <c r="J1266" s="863"/>
      <c r="K1266" s="864"/>
      <c r="L1266" s="27"/>
      <c r="M1266" s="1223"/>
      <c r="N1266" s="61"/>
      <c r="O1266" s="61"/>
    </row>
    <row r="1267" spans="1:15" s="642" customFormat="1" x14ac:dyDescent="0.2">
      <c r="A1267" s="99"/>
      <c r="B1267" s="111"/>
      <c r="C1267" s="948" t="s">
        <v>111</v>
      </c>
      <c r="D1267" s="128"/>
      <c r="E1267" s="128"/>
      <c r="F1267" s="506"/>
      <c r="G1267" s="39"/>
      <c r="H1267" s="138" t="s">
        <v>112</v>
      </c>
      <c r="I1267" s="171"/>
      <c r="J1267" s="171"/>
      <c r="K1267" s="172"/>
      <c r="L1267" s="27"/>
      <c r="M1267" s="1223"/>
      <c r="N1267" s="61"/>
      <c r="O1267" s="61"/>
    </row>
    <row r="1268" spans="1:15" s="642" customFormat="1" x14ac:dyDescent="0.2">
      <c r="A1268" s="99"/>
      <c r="B1268" s="111"/>
      <c r="C1268" s="119"/>
      <c r="D1268" s="99"/>
      <c r="E1268" s="176"/>
      <c r="F1268" s="1"/>
      <c r="G1268" s="38"/>
      <c r="H1268" s="44"/>
      <c r="I1268" s="47"/>
      <c r="J1268" s="47"/>
      <c r="K1268" s="199"/>
      <c r="L1268" s="27"/>
      <c r="M1268" s="1223"/>
      <c r="N1268" s="61"/>
      <c r="O1268" s="61"/>
    </row>
    <row r="1269" spans="1:15" s="642" customFormat="1" ht="22.5" x14ac:dyDescent="0.2">
      <c r="A1269" s="99"/>
      <c r="B1269" s="111"/>
      <c r="C1269" s="119"/>
      <c r="D1269" s="99"/>
      <c r="E1269" s="176"/>
      <c r="F1269" s="1"/>
      <c r="G1269" s="1"/>
      <c r="H1269" s="167" t="s">
        <v>736</v>
      </c>
      <c r="I1269" s="158"/>
      <c r="J1269" s="158"/>
      <c r="K1269" s="159"/>
      <c r="L1269" s="27"/>
      <c r="M1269" s="1223"/>
      <c r="N1269" s="61"/>
      <c r="O1269" s="61"/>
    </row>
    <row r="1270" spans="1:15" s="642" customFormat="1" x14ac:dyDescent="0.2">
      <c r="A1270" s="99"/>
      <c r="B1270" s="111"/>
      <c r="C1270" s="119"/>
      <c r="D1270" s="99"/>
      <c r="E1270" s="176"/>
      <c r="F1270" s="124">
        <v>240</v>
      </c>
      <c r="G1270" s="95">
        <v>472</v>
      </c>
      <c r="H1270" s="17" t="s">
        <v>220</v>
      </c>
      <c r="I1270" s="160">
        <v>5482625.4000000004</v>
      </c>
      <c r="J1270" s="161"/>
      <c r="K1270" s="133">
        <f>SUM(I1270:J1270)</f>
        <v>5482625.4000000004</v>
      </c>
      <c r="L1270" s="27"/>
      <c r="M1270" s="1223"/>
      <c r="N1270" s="61"/>
      <c r="O1270" s="61"/>
    </row>
    <row r="1271" spans="1:15" s="642" customFormat="1" ht="22.5" x14ac:dyDescent="0.2">
      <c r="A1271" s="99"/>
      <c r="B1271" s="781"/>
      <c r="C1271" s="121"/>
      <c r="D1271" s="101"/>
      <c r="E1271" s="177"/>
      <c r="F1271" s="1076"/>
      <c r="G1271" s="786"/>
      <c r="H1271" s="152" t="s">
        <v>781</v>
      </c>
      <c r="I1271" s="173">
        <f>SUM(I1270)</f>
        <v>5482625.4000000004</v>
      </c>
      <c r="J1271" s="173"/>
      <c r="K1271" s="173">
        <f>SUM(I1271:J1271)</f>
        <v>5482625.4000000004</v>
      </c>
      <c r="L1271" s="27"/>
      <c r="M1271" s="1223"/>
      <c r="N1271" s="61"/>
      <c r="O1271" s="61"/>
    </row>
    <row r="1272" spans="1:15" s="642" customFormat="1" x14ac:dyDescent="0.2">
      <c r="A1272" s="99"/>
      <c r="B1272" s="111"/>
      <c r="C1272" s="119"/>
      <c r="D1272" s="99"/>
      <c r="E1272" s="176"/>
      <c r="F1272" s="1"/>
      <c r="G1272" s="1"/>
      <c r="H1272" s="138" t="s">
        <v>113</v>
      </c>
      <c r="I1272" s="133"/>
      <c r="J1272" s="163"/>
      <c r="K1272" s="164"/>
      <c r="L1272" s="27"/>
      <c r="M1272" s="1223"/>
      <c r="N1272" s="61"/>
      <c r="O1272" s="61"/>
    </row>
    <row r="1273" spans="1:15" s="642" customFormat="1" x14ac:dyDescent="0.2">
      <c r="A1273" s="99"/>
      <c r="B1273" s="781"/>
      <c r="C1273" s="121"/>
      <c r="D1273" s="101"/>
      <c r="E1273" s="177"/>
      <c r="F1273" s="42"/>
      <c r="G1273" s="43" t="s">
        <v>157</v>
      </c>
      <c r="H1273" s="90" t="s">
        <v>354</v>
      </c>
      <c r="I1273" s="133">
        <f>SUM(I1271)</f>
        <v>5482625.4000000004</v>
      </c>
      <c r="J1273" s="160"/>
      <c r="K1273" s="160">
        <f>SUM(I1273:J1273)</f>
        <v>5482625.4000000004</v>
      </c>
      <c r="L1273" s="27"/>
      <c r="M1273" s="1223"/>
      <c r="N1273" s="61"/>
      <c r="O1273" s="61"/>
    </row>
    <row r="1274" spans="1:15" s="642" customFormat="1" x14ac:dyDescent="0.2">
      <c r="A1274" s="99"/>
      <c r="B1274" s="781"/>
      <c r="C1274" s="121"/>
      <c r="D1274" s="101"/>
      <c r="E1274" s="177"/>
      <c r="F1274" s="42"/>
      <c r="G1274" s="43"/>
      <c r="H1274" s="96" t="s">
        <v>114</v>
      </c>
      <c r="I1274" s="173">
        <f>SUM(I1273)</f>
        <v>5482625.4000000004</v>
      </c>
      <c r="J1274" s="161"/>
      <c r="K1274" s="161">
        <f>SUM(K1273)</f>
        <v>5482625.4000000004</v>
      </c>
      <c r="L1274" s="27"/>
      <c r="M1274" s="1223"/>
      <c r="N1274" s="61"/>
      <c r="O1274" s="61"/>
    </row>
    <row r="1275" spans="1:15" s="642" customFormat="1" x14ac:dyDescent="0.2">
      <c r="A1275" s="99"/>
      <c r="B1275" s="111"/>
      <c r="C1275" s="119"/>
      <c r="D1275" s="99"/>
      <c r="E1275" s="176"/>
      <c r="F1275" s="1"/>
      <c r="G1275" s="38"/>
      <c r="H1275" s="44"/>
      <c r="I1275" s="47"/>
      <c r="J1275" s="47"/>
      <c r="K1275" s="199"/>
      <c r="L1275" s="27"/>
      <c r="M1275" s="1223"/>
      <c r="N1275" s="61"/>
      <c r="O1275" s="61"/>
    </row>
    <row r="1276" spans="1:15" s="642" customFormat="1" ht="22.5" x14ac:dyDescent="0.2">
      <c r="A1276" s="99"/>
      <c r="B1276" s="111"/>
      <c r="C1276" s="119"/>
      <c r="D1276" s="99"/>
      <c r="E1276" s="176"/>
      <c r="F1276" s="1"/>
      <c r="G1276" s="38"/>
      <c r="H1276" s="167" t="s">
        <v>745</v>
      </c>
      <c r="I1276" s="158"/>
      <c r="J1276" s="158"/>
      <c r="K1276" s="159"/>
      <c r="L1276" s="27"/>
      <c r="M1276" s="1223"/>
      <c r="N1276" s="61"/>
      <c r="O1276" s="61"/>
    </row>
    <row r="1277" spans="1:15" s="642" customFormat="1" x14ac:dyDescent="0.2">
      <c r="A1277" s="99"/>
      <c r="B1277" s="111"/>
      <c r="C1277" s="119"/>
      <c r="D1277" s="99"/>
      <c r="E1277" s="176"/>
      <c r="F1277" s="124">
        <v>241</v>
      </c>
      <c r="G1277" s="154" t="s">
        <v>746</v>
      </c>
      <c r="H1277" s="89" t="s">
        <v>7</v>
      </c>
      <c r="I1277" s="160">
        <v>527000</v>
      </c>
      <c r="J1277" s="161"/>
      <c r="K1277" s="160">
        <f t="shared" ref="K1277:K1289" si="82">SUM(I1277:J1277)</f>
        <v>527000</v>
      </c>
      <c r="L1277" s="27"/>
      <c r="M1277" s="1223"/>
      <c r="N1277" s="61"/>
      <c r="O1277" s="61"/>
    </row>
    <row r="1278" spans="1:15" s="642" customFormat="1" x14ac:dyDescent="0.2">
      <c r="A1278" s="99"/>
      <c r="B1278" s="111"/>
      <c r="C1278" s="119"/>
      <c r="D1278" s="99"/>
      <c r="E1278" s="176"/>
      <c r="F1278" s="124">
        <v>242</v>
      </c>
      <c r="G1278" s="154" t="s">
        <v>747</v>
      </c>
      <c r="H1278" s="90" t="s">
        <v>8</v>
      </c>
      <c r="I1278" s="160">
        <v>181500</v>
      </c>
      <c r="J1278" s="161"/>
      <c r="K1278" s="160">
        <f t="shared" si="82"/>
        <v>181500</v>
      </c>
      <c r="L1278" s="27"/>
      <c r="M1278" s="1223"/>
      <c r="N1278" s="61"/>
      <c r="O1278" s="61"/>
    </row>
    <row r="1279" spans="1:15" s="642" customFormat="1" x14ac:dyDescent="0.2">
      <c r="A1279" s="99"/>
      <c r="B1279" s="111"/>
      <c r="C1279" s="119"/>
      <c r="D1279" s="99"/>
      <c r="E1279" s="176"/>
      <c r="F1279" s="124">
        <v>243</v>
      </c>
      <c r="G1279" s="154" t="s">
        <v>100</v>
      </c>
      <c r="H1279" s="90" t="s">
        <v>9</v>
      </c>
      <c r="I1279" s="160">
        <v>16504500</v>
      </c>
      <c r="J1279" s="161"/>
      <c r="K1279" s="160">
        <f t="shared" si="82"/>
        <v>16504500</v>
      </c>
      <c r="L1279" s="27"/>
      <c r="M1279" s="1223"/>
      <c r="N1279" s="61"/>
      <c r="O1279" s="61"/>
    </row>
    <row r="1280" spans="1:15" s="642" customFormat="1" x14ac:dyDescent="0.2">
      <c r="A1280" s="101"/>
      <c r="B1280" s="781"/>
      <c r="C1280" s="121"/>
      <c r="D1280" s="101"/>
      <c r="E1280" s="177"/>
      <c r="F1280" s="124">
        <v>244</v>
      </c>
      <c r="G1280" s="154" t="s">
        <v>51</v>
      </c>
      <c r="H1280" s="90" t="s">
        <v>10</v>
      </c>
      <c r="I1280" s="160">
        <v>1750000</v>
      </c>
      <c r="J1280" s="161"/>
      <c r="K1280" s="160">
        <f t="shared" si="82"/>
        <v>1750000</v>
      </c>
      <c r="L1280" s="27"/>
      <c r="M1280" s="1223"/>
      <c r="N1280" s="61"/>
      <c r="O1280" s="61"/>
    </row>
    <row r="1281" spans="1:15" s="642" customFormat="1" x14ac:dyDescent="0.2">
      <c r="A1281" s="101"/>
      <c r="B1281" s="781"/>
      <c r="C1281" s="121"/>
      <c r="D1281" s="101"/>
      <c r="E1281" s="177"/>
      <c r="F1281" s="124">
        <v>245</v>
      </c>
      <c r="G1281" s="154" t="s">
        <v>331</v>
      </c>
      <c r="H1281" s="90" t="s">
        <v>36</v>
      </c>
      <c r="I1281" s="160">
        <v>462000</v>
      </c>
      <c r="J1281" s="161"/>
      <c r="K1281" s="160">
        <f t="shared" si="82"/>
        <v>462000</v>
      </c>
      <c r="L1281" s="27"/>
      <c r="M1281" s="1223"/>
      <c r="N1281" s="61"/>
      <c r="O1281" s="61"/>
    </row>
    <row r="1282" spans="1:15" s="642" customFormat="1" x14ac:dyDescent="0.2">
      <c r="A1282" s="101"/>
      <c r="B1282" s="781"/>
      <c r="C1282" s="121"/>
      <c r="D1282" s="101"/>
      <c r="E1282" s="177"/>
      <c r="F1282" s="124">
        <v>246</v>
      </c>
      <c r="G1282" s="154" t="s">
        <v>804</v>
      </c>
      <c r="H1282" s="90" t="s">
        <v>806</v>
      </c>
      <c r="I1282" s="160">
        <v>37500</v>
      </c>
      <c r="J1282" s="161"/>
      <c r="K1282" s="160">
        <f t="shared" si="82"/>
        <v>37500</v>
      </c>
      <c r="L1282" s="27"/>
      <c r="M1282" s="1223"/>
      <c r="N1282" s="61"/>
      <c r="O1282" s="61"/>
    </row>
    <row r="1283" spans="1:15" s="642" customFormat="1" x14ac:dyDescent="0.2">
      <c r="A1283" s="95"/>
      <c r="B1283" s="922"/>
      <c r="C1283" s="124"/>
      <c r="D1283" s="95"/>
      <c r="E1283" s="154"/>
      <c r="F1283" s="124">
        <v>247</v>
      </c>
      <c r="G1283" s="154" t="s">
        <v>699</v>
      </c>
      <c r="H1283" s="90" t="s">
        <v>21</v>
      </c>
      <c r="I1283" s="160">
        <v>2750000</v>
      </c>
      <c r="J1283" s="161"/>
      <c r="K1283" s="160">
        <f t="shared" si="82"/>
        <v>2750000</v>
      </c>
      <c r="L1283" s="27"/>
      <c r="M1283" s="1223"/>
      <c r="N1283" s="61"/>
      <c r="O1283" s="61"/>
    </row>
    <row r="1284" spans="1:15" s="642" customFormat="1" x14ac:dyDescent="0.2">
      <c r="A1284" s="99"/>
      <c r="B1284" s="111"/>
      <c r="C1284" s="119"/>
      <c r="D1284" s="99"/>
      <c r="E1284" s="176"/>
      <c r="F1284" s="124">
        <v>248</v>
      </c>
      <c r="G1284" s="448">
        <v>515</v>
      </c>
      <c r="H1284" s="90" t="s">
        <v>23</v>
      </c>
      <c r="I1284" s="160">
        <v>687500</v>
      </c>
      <c r="J1284" s="161"/>
      <c r="K1284" s="160">
        <f t="shared" si="82"/>
        <v>687500</v>
      </c>
      <c r="L1284" s="27"/>
      <c r="M1284" s="1223"/>
      <c r="N1284" s="61"/>
      <c r="O1284" s="61"/>
    </row>
    <row r="1285" spans="1:15" s="642" customFormat="1" x14ac:dyDescent="0.2">
      <c r="A1285" s="99"/>
      <c r="B1285" s="111"/>
      <c r="C1285" s="119"/>
      <c r="D1285" s="99"/>
      <c r="E1285" s="176"/>
      <c r="F1285" s="1"/>
      <c r="G1285" s="38"/>
      <c r="H1285" s="96" t="s">
        <v>113</v>
      </c>
      <c r="I1285" s="161">
        <f>SUM(I1277:I1284)</f>
        <v>22900000</v>
      </c>
      <c r="J1285" s="161"/>
      <c r="K1285" s="161">
        <f t="shared" si="82"/>
        <v>22900000</v>
      </c>
      <c r="L1285" s="27"/>
      <c r="M1285" s="1223"/>
      <c r="N1285" s="61"/>
      <c r="O1285" s="61"/>
    </row>
    <row r="1286" spans="1:15" s="642" customFormat="1" x14ac:dyDescent="0.2">
      <c r="A1286" s="99"/>
      <c r="B1286" s="111"/>
      <c r="C1286" s="119"/>
      <c r="D1286" s="99"/>
      <c r="E1286" s="176"/>
      <c r="F1286" s="1"/>
      <c r="G1286" s="38" t="s">
        <v>39</v>
      </c>
      <c r="H1286" s="90" t="s">
        <v>40</v>
      </c>
      <c r="I1286" s="160">
        <v>2060000</v>
      </c>
      <c r="J1286" s="161"/>
      <c r="K1286" s="160">
        <f t="shared" si="82"/>
        <v>2060000</v>
      </c>
      <c r="L1286" s="27"/>
      <c r="M1286" s="1223"/>
      <c r="N1286" s="61"/>
      <c r="O1286" s="61"/>
    </row>
    <row r="1287" spans="1:15" s="642" customFormat="1" x14ac:dyDescent="0.2">
      <c r="A1287" s="99"/>
      <c r="B1287" s="111"/>
      <c r="C1287" s="119"/>
      <c r="D1287" s="99"/>
      <c r="E1287" s="176"/>
      <c r="F1287" s="1"/>
      <c r="G1287" s="38" t="s">
        <v>748</v>
      </c>
      <c r="H1287" s="90" t="s">
        <v>749</v>
      </c>
      <c r="I1287" s="160">
        <f>SUM(I1285-I1286-I1288)</f>
        <v>18550000</v>
      </c>
      <c r="J1287" s="161"/>
      <c r="K1287" s="160">
        <f t="shared" si="82"/>
        <v>18550000</v>
      </c>
      <c r="L1287" s="27"/>
      <c r="M1287" s="1223"/>
      <c r="N1287" s="61"/>
      <c r="O1287" s="61"/>
    </row>
    <row r="1288" spans="1:15" s="642" customFormat="1" x14ac:dyDescent="0.2">
      <c r="A1288" s="101"/>
      <c r="B1288" s="781"/>
      <c r="C1288" s="121"/>
      <c r="D1288" s="101"/>
      <c r="E1288" s="177"/>
      <c r="F1288" s="42"/>
      <c r="G1288" s="43" t="s">
        <v>157</v>
      </c>
      <c r="H1288" s="90" t="s">
        <v>354</v>
      </c>
      <c r="I1288" s="160">
        <v>2290000</v>
      </c>
      <c r="J1288" s="161"/>
      <c r="K1288" s="160">
        <f t="shared" si="82"/>
        <v>2290000</v>
      </c>
      <c r="L1288" s="27"/>
      <c r="M1288" s="1223"/>
      <c r="N1288" s="61"/>
      <c r="O1288" s="61"/>
    </row>
    <row r="1289" spans="1:15" s="642" customFormat="1" ht="22.5" x14ac:dyDescent="0.2">
      <c r="A1289" s="95"/>
      <c r="B1289" s="922"/>
      <c r="C1289" s="124"/>
      <c r="D1289" s="95"/>
      <c r="E1289" s="154"/>
      <c r="F1289" s="57"/>
      <c r="G1289" s="58"/>
      <c r="H1289" s="153" t="s">
        <v>750</v>
      </c>
      <c r="I1289" s="162">
        <f>SUM(I1286:I1288)</f>
        <v>22900000</v>
      </c>
      <c r="J1289" s="162"/>
      <c r="K1289" s="162">
        <f t="shared" si="82"/>
        <v>22900000</v>
      </c>
      <c r="L1289" s="27"/>
      <c r="M1289" s="1223"/>
      <c r="N1289" s="61"/>
      <c r="O1289" s="61"/>
    </row>
    <row r="1290" spans="1:15" s="642" customFormat="1" x14ac:dyDescent="0.2">
      <c r="A1290" s="99"/>
      <c r="B1290" s="111"/>
      <c r="C1290" s="119"/>
      <c r="D1290" s="99"/>
      <c r="E1290" s="176"/>
      <c r="F1290" s="1"/>
      <c r="G1290" s="38"/>
      <c r="H1290" s="44"/>
      <c r="I1290" s="863"/>
      <c r="J1290" s="863"/>
      <c r="K1290" s="864"/>
      <c r="L1290" s="27"/>
      <c r="M1290" s="1223"/>
      <c r="N1290" s="61"/>
      <c r="O1290" s="61"/>
    </row>
    <row r="1291" spans="1:15" s="642" customFormat="1" x14ac:dyDescent="0.2">
      <c r="A1291" s="788"/>
      <c r="B1291" s="789"/>
      <c r="C1291" s="790"/>
      <c r="D1291" s="148" t="s">
        <v>306</v>
      </c>
      <c r="E1291" s="767"/>
      <c r="F1291" s="134"/>
      <c r="G1291" s="135"/>
      <c r="H1291" s="220" t="s">
        <v>555</v>
      </c>
      <c r="I1291" s="221">
        <f>SUM(I1307)</f>
        <v>127000000</v>
      </c>
      <c r="J1291" s="908"/>
      <c r="K1291" s="222">
        <f>SUM(I1291:J1291)</f>
        <v>127000000</v>
      </c>
      <c r="L1291" s="887"/>
      <c r="M1291" s="1223"/>
      <c r="N1291" s="61"/>
      <c r="O1291" s="61"/>
    </row>
    <row r="1292" spans="1:15" s="642" customFormat="1" x14ac:dyDescent="0.2">
      <c r="A1292" s="788"/>
      <c r="B1292" s="789"/>
      <c r="C1292" s="790"/>
      <c r="D1292" s="148"/>
      <c r="E1292" s="767"/>
      <c r="F1292" s="134"/>
      <c r="G1292" s="135"/>
      <c r="H1292" s="144"/>
      <c r="I1292" s="149"/>
      <c r="J1292" s="145"/>
      <c r="K1292" s="198"/>
      <c r="L1292" s="887"/>
      <c r="M1292" s="1223"/>
      <c r="N1292" s="61"/>
      <c r="O1292" s="61"/>
    </row>
    <row r="1293" spans="1:15" s="642" customFormat="1" x14ac:dyDescent="0.2">
      <c r="A1293" s="99"/>
      <c r="B1293" s="111"/>
      <c r="C1293" s="119"/>
      <c r="D1293" s="99"/>
      <c r="E1293" s="176"/>
      <c r="F1293" s="1"/>
      <c r="G1293" s="38"/>
      <c r="H1293" s="136" t="s">
        <v>334</v>
      </c>
      <c r="I1293" s="995"/>
      <c r="J1293" s="995"/>
      <c r="K1293" s="1077"/>
      <c r="L1293" s="27"/>
      <c r="M1293" s="1223"/>
      <c r="N1293" s="61"/>
      <c r="O1293" s="61"/>
    </row>
    <row r="1294" spans="1:15" s="642" customFormat="1" x14ac:dyDescent="0.2">
      <c r="A1294" s="99"/>
      <c r="B1294" s="111"/>
      <c r="C1294" s="119"/>
      <c r="D1294" s="98"/>
      <c r="E1294" s="128" t="s">
        <v>307</v>
      </c>
      <c r="F1294" s="1"/>
      <c r="G1294" s="40"/>
      <c r="H1294" s="137" t="s">
        <v>397</v>
      </c>
      <c r="I1294" s="833"/>
      <c r="J1294" s="833"/>
      <c r="K1294" s="884"/>
      <c r="L1294" s="27"/>
      <c r="M1294" s="1223"/>
      <c r="N1294" s="61"/>
      <c r="O1294" s="61"/>
    </row>
    <row r="1295" spans="1:15" s="893" customFormat="1" x14ac:dyDescent="0.2">
      <c r="A1295" s="788"/>
      <c r="B1295" s="789"/>
      <c r="C1295" s="790"/>
      <c r="D1295" s="912"/>
      <c r="E1295" s="148"/>
      <c r="F1295" s="134"/>
      <c r="G1295" s="165"/>
      <c r="H1295" s="144"/>
      <c r="I1295" s="824"/>
      <c r="J1295" s="824"/>
      <c r="K1295" s="994"/>
      <c r="L1295" s="887"/>
      <c r="M1295" s="1224"/>
      <c r="N1295" s="892"/>
      <c r="O1295" s="892"/>
    </row>
    <row r="1296" spans="1:15" s="893" customFormat="1" x14ac:dyDescent="0.2">
      <c r="A1296" s="99"/>
      <c r="B1296" s="111"/>
      <c r="C1296" s="111">
        <v>721</v>
      </c>
      <c r="D1296" s="98"/>
      <c r="E1296" s="128"/>
      <c r="F1296" s="39"/>
      <c r="G1296" s="39"/>
      <c r="H1296" s="169" t="s">
        <v>138</v>
      </c>
      <c r="I1296" s="920"/>
      <c r="J1296" s="920"/>
      <c r="K1296" s="1078"/>
      <c r="L1296" s="27"/>
      <c r="M1296" s="1224"/>
      <c r="N1296" s="892"/>
      <c r="O1296" s="892"/>
    </row>
    <row r="1297" spans="1:15" s="642" customFormat="1" ht="22.5" x14ac:dyDescent="0.2">
      <c r="A1297" s="94"/>
      <c r="B1297" s="111"/>
      <c r="C1297" s="119"/>
      <c r="D1297" s="94"/>
      <c r="E1297" s="176"/>
      <c r="F1297" s="124">
        <v>249</v>
      </c>
      <c r="G1297" s="95">
        <v>464</v>
      </c>
      <c r="H1297" s="18" t="s">
        <v>863</v>
      </c>
      <c r="I1297" s="133">
        <v>126700000</v>
      </c>
      <c r="J1297" s="133"/>
      <c r="K1297" s="133">
        <f>SUM(I1297+J1297)</f>
        <v>126700000</v>
      </c>
      <c r="L1297" s="27"/>
      <c r="M1297" s="1223"/>
      <c r="N1297" s="61"/>
      <c r="O1297" s="61"/>
    </row>
    <row r="1298" spans="1:15" s="642" customFormat="1" x14ac:dyDescent="0.2">
      <c r="A1298" s="583"/>
      <c r="B1298" s="781"/>
      <c r="C1298" s="1079"/>
      <c r="D1298" s="1080"/>
      <c r="E1298" s="1081"/>
      <c r="F1298" s="1076"/>
      <c r="G1298" s="786"/>
      <c r="H1298" s="97" t="s">
        <v>782</v>
      </c>
      <c r="I1298" s="170">
        <f>SUM(I1297:I1297)</f>
        <v>126700000</v>
      </c>
      <c r="J1298" s="170"/>
      <c r="K1298" s="170">
        <f>SUM(I1298+J1298)</f>
        <v>126700000</v>
      </c>
      <c r="L1298" s="27"/>
      <c r="M1298" s="1223"/>
      <c r="N1298" s="61"/>
      <c r="O1298" s="61"/>
    </row>
    <row r="1299" spans="1:15" s="642" customFormat="1" x14ac:dyDescent="0.2">
      <c r="A1299" s="94"/>
      <c r="B1299" s="111"/>
      <c r="C1299" s="888"/>
      <c r="D1299" s="1027"/>
      <c r="E1299" s="1065"/>
      <c r="F1299" s="201"/>
      <c r="G1299" s="40"/>
      <c r="H1299" s="29"/>
      <c r="I1299" s="906"/>
      <c r="J1299" s="906"/>
      <c r="K1299" s="907"/>
      <c r="L1299" s="27"/>
      <c r="M1299" s="1223"/>
      <c r="N1299" s="61"/>
      <c r="O1299" s="61"/>
    </row>
    <row r="1300" spans="1:15" s="642" customFormat="1" x14ac:dyDescent="0.2">
      <c r="A1300" s="94"/>
      <c r="B1300" s="111"/>
      <c r="C1300" s="888"/>
      <c r="D1300" s="1027"/>
      <c r="E1300" s="1065"/>
      <c r="F1300" s="201"/>
      <c r="G1300" s="40"/>
      <c r="H1300" s="29"/>
      <c r="I1300" s="906"/>
      <c r="J1300" s="906"/>
      <c r="K1300" s="907"/>
      <c r="L1300" s="27"/>
      <c r="M1300" s="1223"/>
      <c r="N1300" s="61"/>
      <c r="O1300" s="61"/>
    </row>
    <row r="1301" spans="1:15" s="642" customFormat="1" x14ac:dyDescent="0.2">
      <c r="A1301" s="94"/>
      <c r="B1301" s="111"/>
      <c r="C1301" s="888"/>
      <c r="D1301" s="1027"/>
      <c r="E1301" s="176"/>
      <c r="F1301" s="1"/>
      <c r="G1301" s="38"/>
      <c r="H1301" s="136" t="s">
        <v>336</v>
      </c>
      <c r="I1301" s="995"/>
      <c r="J1301" s="995"/>
      <c r="K1301" s="1077"/>
      <c r="L1301" s="27"/>
      <c r="M1301" s="1223"/>
      <c r="N1301" s="61"/>
      <c r="O1301" s="61"/>
    </row>
    <row r="1302" spans="1:15" s="642" customFormat="1" ht="22.5" x14ac:dyDescent="0.2">
      <c r="A1302" s="94"/>
      <c r="B1302" s="111"/>
      <c r="C1302" s="888"/>
      <c r="D1302" s="1027"/>
      <c r="E1302" s="128" t="s">
        <v>1167</v>
      </c>
      <c r="F1302" s="1"/>
      <c r="G1302" s="40"/>
      <c r="H1302" s="913" t="s">
        <v>1168</v>
      </c>
      <c r="I1302" s="833"/>
      <c r="J1302" s="833"/>
      <c r="K1302" s="884"/>
      <c r="L1302" s="27"/>
      <c r="M1302" s="1223"/>
      <c r="N1302" s="61"/>
      <c r="O1302" s="61"/>
    </row>
    <row r="1303" spans="1:15" s="642" customFormat="1" x14ac:dyDescent="0.2">
      <c r="A1303" s="94"/>
      <c r="B1303" s="111"/>
      <c r="C1303" s="888"/>
      <c r="D1303" s="1027"/>
      <c r="E1303" s="1065"/>
      <c r="F1303" s="124" t="s">
        <v>1169</v>
      </c>
      <c r="G1303" s="95">
        <v>423</v>
      </c>
      <c r="H1303" s="18" t="s">
        <v>9</v>
      </c>
      <c r="I1303" s="133">
        <v>300000</v>
      </c>
      <c r="J1303" s="133"/>
      <c r="K1303" s="133">
        <f>SUM(I1303+J1303)</f>
        <v>300000</v>
      </c>
      <c r="L1303" s="27"/>
      <c r="M1303" s="1223"/>
      <c r="N1303" s="61"/>
      <c r="O1303" s="61"/>
    </row>
    <row r="1304" spans="1:15" s="642" customFormat="1" x14ac:dyDescent="0.2">
      <c r="A1304" s="94"/>
      <c r="B1304" s="111"/>
      <c r="C1304" s="826">
        <v>721</v>
      </c>
      <c r="D1304" s="1027"/>
      <c r="E1304" s="1065"/>
      <c r="F1304" s="1076"/>
      <c r="G1304" s="786"/>
      <c r="H1304" s="97" t="s">
        <v>1170</v>
      </c>
      <c r="I1304" s="170">
        <f>SUM(I1303:I1303)</f>
        <v>300000</v>
      </c>
      <c r="J1304" s="170"/>
      <c r="K1304" s="170">
        <f>SUM(I1304+J1304)</f>
        <v>300000</v>
      </c>
      <c r="L1304" s="27"/>
      <c r="M1304" s="1223"/>
      <c r="N1304" s="61"/>
      <c r="O1304" s="61"/>
    </row>
    <row r="1305" spans="1:15" s="893" customFormat="1" x14ac:dyDescent="0.2">
      <c r="A1305" s="94"/>
      <c r="B1305" s="111"/>
      <c r="C1305" s="888"/>
      <c r="D1305" s="1027"/>
      <c r="E1305" s="1065"/>
      <c r="F1305" s="201"/>
      <c r="G1305" s="40"/>
      <c r="H1305" s="984"/>
      <c r="I1305" s="863"/>
      <c r="J1305" s="863"/>
      <c r="K1305" s="864"/>
      <c r="L1305" s="27"/>
      <c r="M1305" s="1224"/>
      <c r="N1305" s="892"/>
      <c r="O1305" s="892"/>
    </row>
    <row r="1306" spans="1:15" s="642" customFormat="1" x14ac:dyDescent="0.2">
      <c r="A1306" s="94"/>
      <c r="B1306" s="98"/>
      <c r="C1306" s="99"/>
      <c r="D1306" s="99"/>
      <c r="E1306" s="176"/>
      <c r="F1306" s="1"/>
      <c r="G1306" s="38" t="s">
        <v>39</v>
      </c>
      <c r="H1306" s="90" t="s">
        <v>40</v>
      </c>
      <c r="I1306" s="160">
        <f>SUM(I1298+I1304)</f>
        <v>127000000</v>
      </c>
      <c r="J1306" s="173"/>
      <c r="K1306" s="160">
        <f>SUM(I1306:J1306)</f>
        <v>127000000</v>
      </c>
      <c r="L1306" s="27"/>
      <c r="M1306" s="1223"/>
      <c r="N1306" s="61"/>
      <c r="O1306" s="61"/>
    </row>
    <row r="1307" spans="1:15" s="642" customFormat="1" x14ac:dyDescent="0.2">
      <c r="A1307" s="94"/>
      <c r="B1307" s="98"/>
      <c r="C1307" s="99"/>
      <c r="D1307" s="99"/>
      <c r="E1307" s="177"/>
      <c r="F1307" s="42"/>
      <c r="G1307" s="43"/>
      <c r="H1307" s="97" t="s">
        <v>139</v>
      </c>
      <c r="I1307" s="162">
        <f>SUM(I1306)</f>
        <v>127000000</v>
      </c>
      <c r="J1307" s="170"/>
      <c r="K1307" s="170">
        <f>SUM(I1307:J1307)</f>
        <v>127000000</v>
      </c>
      <c r="L1307" s="27"/>
      <c r="M1307" s="1223"/>
      <c r="N1307" s="61"/>
      <c r="O1307" s="61"/>
    </row>
    <row r="1308" spans="1:15" s="642" customFormat="1" x14ac:dyDescent="0.2">
      <c r="A1308" s="94"/>
      <c r="B1308" s="98"/>
      <c r="C1308" s="99"/>
      <c r="D1308" s="94"/>
      <c r="E1308" s="176"/>
      <c r="F1308" s="1"/>
      <c r="G1308" s="40"/>
      <c r="H1308" s="50"/>
      <c r="I1308" s="863"/>
      <c r="J1308" s="863"/>
      <c r="K1308" s="864"/>
      <c r="L1308" s="26"/>
      <c r="M1308" s="1223"/>
      <c r="N1308" s="61"/>
      <c r="O1308" s="61"/>
    </row>
    <row r="1309" spans="1:15" s="642" customFormat="1" x14ac:dyDescent="0.2">
      <c r="A1309" s="94"/>
      <c r="B1309" s="98"/>
      <c r="C1309" s="98">
        <v>620</v>
      </c>
      <c r="D1309" s="129"/>
      <c r="E1309" s="128"/>
      <c r="F1309" s="1"/>
      <c r="G1309" s="40"/>
      <c r="H1309" s="168" t="s">
        <v>142</v>
      </c>
      <c r="I1309" s="989"/>
      <c r="J1309" s="989"/>
      <c r="K1309" s="990"/>
      <c r="L1309" s="27"/>
      <c r="M1309" s="1223"/>
      <c r="N1309" s="61"/>
      <c r="O1309" s="61"/>
    </row>
    <row r="1310" spans="1:15" s="642" customFormat="1" x14ac:dyDescent="0.2">
      <c r="A1310" s="94"/>
      <c r="B1310" s="98"/>
      <c r="C1310" s="99"/>
      <c r="D1310" s="94"/>
      <c r="E1310" s="176"/>
      <c r="F1310" s="1"/>
      <c r="G1310" s="40"/>
      <c r="H1310" s="50"/>
      <c r="I1310" s="863"/>
      <c r="J1310" s="863"/>
      <c r="K1310" s="864"/>
      <c r="L1310" s="27"/>
      <c r="M1310" s="1223"/>
      <c r="N1310" s="61"/>
      <c r="O1310" s="61"/>
    </row>
    <row r="1311" spans="1:15" s="642" customFormat="1" x14ac:dyDescent="0.2">
      <c r="A1311" s="917"/>
      <c r="B1311" s="912"/>
      <c r="C1311" s="788"/>
      <c r="D1311" s="148" t="s">
        <v>559</v>
      </c>
      <c r="E1311" s="767"/>
      <c r="F1311" s="134"/>
      <c r="G1311" s="135"/>
      <c r="H1311" s="220" t="s">
        <v>560</v>
      </c>
      <c r="I1311" s="221">
        <f>SUM(I1321)</f>
        <v>31741307</v>
      </c>
      <c r="J1311" s="221"/>
      <c r="K1311" s="222">
        <f>SUM(I1311:J1311)</f>
        <v>31741307</v>
      </c>
      <c r="L1311" s="887"/>
      <c r="M1311" s="1223"/>
      <c r="N1311" s="61"/>
      <c r="O1311" s="61"/>
    </row>
    <row r="1312" spans="1:15" s="642" customFormat="1" x14ac:dyDescent="0.2">
      <c r="A1312" s="108"/>
      <c r="B1312" s="890"/>
      <c r="C1312" s="37"/>
      <c r="D1312" s="126"/>
      <c r="E1312" s="248"/>
      <c r="F1312" s="37"/>
      <c r="G1312" s="30"/>
      <c r="H1312" s="29"/>
      <c r="I1312" s="60"/>
      <c r="J1312" s="60"/>
      <c r="K1312" s="200"/>
      <c r="L1312" s="27"/>
      <c r="M1312" s="1223"/>
      <c r="N1312" s="61"/>
      <c r="O1312" s="61"/>
    </row>
    <row r="1313" spans="1:15" s="642" customFormat="1" x14ac:dyDescent="0.2">
      <c r="A1313" s="108"/>
      <c r="B1313" s="890"/>
      <c r="C1313" s="116"/>
      <c r="D1313" s="126"/>
      <c r="E1313" s="248"/>
      <c r="F1313" s="37"/>
      <c r="G1313" s="30"/>
      <c r="H1313" s="1026" t="s">
        <v>575</v>
      </c>
      <c r="I1313" s="1082"/>
      <c r="J1313" s="1082"/>
      <c r="K1313" s="182"/>
      <c r="L1313" s="27"/>
      <c r="M1313" s="1223"/>
      <c r="N1313" s="61"/>
      <c r="O1313" s="61"/>
    </row>
    <row r="1314" spans="1:15" x14ac:dyDescent="0.2">
      <c r="A1314" s="106"/>
      <c r="B1314" s="113"/>
      <c r="C1314" s="380"/>
      <c r="D1314" s="410"/>
      <c r="E1314" s="423"/>
      <c r="F1314" s="276"/>
      <c r="G1314" s="219"/>
      <c r="H1314" s="311"/>
      <c r="I1314" s="63"/>
      <c r="J1314" s="63"/>
      <c r="K1314" s="202"/>
    </row>
    <row r="1315" spans="1:15" s="364" customFormat="1" x14ac:dyDescent="0.2">
      <c r="A1315" s="106"/>
      <c r="B1315" s="113"/>
      <c r="C1315" s="113"/>
      <c r="D1315" s="359"/>
      <c r="E1315" s="176"/>
      <c r="F1315" s="1"/>
      <c r="G1315" s="38"/>
      <c r="H1315" s="136" t="s">
        <v>334</v>
      </c>
      <c r="I1315" s="139"/>
      <c r="J1315" s="139"/>
      <c r="K1315" s="140"/>
      <c r="L1315" s="26"/>
      <c r="M1315" s="1224"/>
      <c r="N1315" s="363"/>
      <c r="O1315" s="363"/>
    </row>
    <row r="1316" spans="1:15" x14ac:dyDescent="0.2">
      <c r="A1316" s="106"/>
      <c r="B1316" s="113"/>
      <c r="C1316" s="113"/>
      <c r="D1316" s="359"/>
      <c r="E1316" s="128" t="s">
        <v>563</v>
      </c>
      <c r="F1316" s="1"/>
      <c r="G1316" s="40"/>
      <c r="H1316" s="137" t="s">
        <v>556</v>
      </c>
      <c r="I1316" s="186"/>
      <c r="J1316" s="186"/>
      <c r="K1316" s="181"/>
    </row>
    <row r="1317" spans="1:15" x14ac:dyDescent="0.2">
      <c r="A1317" s="390"/>
      <c r="B1317" s="371"/>
      <c r="C1317" s="371"/>
      <c r="D1317" s="374"/>
      <c r="E1317" s="148"/>
      <c r="F1317" s="134"/>
      <c r="G1317" s="165"/>
      <c r="H1317" s="144"/>
      <c r="I1317" s="149"/>
      <c r="J1317" s="149"/>
      <c r="K1317" s="198"/>
      <c r="L1317" s="358"/>
    </row>
    <row r="1318" spans="1:15" x14ac:dyDescent="0.2">
      <c r="A1318" s="106"/>
      <c r="B1318" s="113"/>
      <c r="C1318" s="122"/>
      <c r="D1318" s="103"/>
      <c r="E1318" s="176"/>
      <c r="F1318" s="124">
        <v>250</v>
      </c>
      <c r="G1318" s="95">
        <v>424</v>
      </c>
      <c r="H1318" s="89" t="s">
        <v>850</v>
      </c>
      <c r="I1318" s="160">
        <v>23413288</v>
      </c>
      <c r="J1318" s="160"/>
      <c r="K1318" s="160">
        <f>SUM(I1318+J1318)</f>
        <v>23413288</v>
      </c>
    </row>
    <row r="1319" spans="1:15" x14ac:dyDescent="0.2">
      <c r="A1319" s="106"/>
      <c r="B1319" s="113"/>
      <c r="C1319" s="122"/>
      <c r="D1319" s="103"/>
      <c r="E1319" s="176"/>
      <c r="F1319" s="95">
        <v>251</v>
      </c>
      <c r="G1319" s="448">
        <v>451</v>
      </c>
      <c r="H1319" s="449" t="s">
        <v>864</v>
      </c>
      <c r="I1319" s="160">
        <v>8328019</v>
      </c>
      <c r="J1319" s="160"/>
      <c r="K1319" s="160">
        <f>SUM(I1319+J1319)</f>
        <v>8328019</v>
      </c>
    </row>
    <row r="1320" spans="1:15" x14ac:dyDescent="0.2">
      <c r="A1320" s="375"/>
      <c r="B1320" s="113"/>
      <c r="C1320" s="103"/>
      <c r="D1320" s="103"/>
      <c r="E1320" s="176"/>
      <c r="F1320" s="1"/>
      <c r="G1320" s="293" t="s">
        <v>39</v>
      </c>
      <c r="H1320" s="450" t="s">
        <v>40</v>
      </c>
      <c r="I1320" s="160">
        <f>SUM(I1318:I1319)</f>
        <v>31741307</v>
      </c>
      <c r="J1320" s="160"/>
      <c r="K1320" s="160">
        <f>SUM(I1320:J1320)</f>
        <v>31741307</v>
      </c>
    </row>
    <row r="1321" spans="1:15" s="364" customFormat="1" x14ac:dyDescent="0.2">
      <c r="A1321" s="375"/>
      <c r="B1321" s="113"/>
      <c r="C1321" s="103"/>
      <c r="D1321" s="103"/>
      <c r="E1321" s="176"/>
      <c r="F1321" s="1"/>
      <c r="G1321" s="293"/>
      <c r="H1321" s="261" t="s">
        <v>796</v>
      </c>
      <c r="I1321" s="162">
        <f>SUM(I1320)</f>
        <v>31741307</v>
      </c>
      <c r="J1321" s="162"/>
      <c r="K1321" s="162">
        <f t="shared" ref="K1321" si="83">SUM(K1320)</f>
        <v>31741307</v>
      </c>
      <c r="L1321" s="26"/>
      <c r="M1321" s="1224"/>
      <c r="N1321" s="363"/>
      <c r="O1321" s="363"/>
    </row>
    <row r="1322" spans="1:15" x14ac:dyDescent="0.2">
      <c r="A1322" s="106"/>
      <c r="B1322" s="113"/>
      <c r="C1322" s="122"/>
      <c r="D1322" s="103"/>
      <c r="E1322" s="250"/>
      <c r="F1322" s="301"/>
      <c r="G1322" s="14"/>
      <c r="H1322" s="14"/>
      <c r="I1322" s="14"/>
      <c r="J1322" s="14"/>
      <c r="K1322" s="14"/>
    </row>
    <row r="1323" spans="1:15" s="642" customFormat="1" x14ac:dyDescent="0.2">
      <c r="A1323" s="917"/>
      <c r="B1323" s="789"/>
      <c r="C1323" s="790"/>
      <c r="D1323" s="148" t="s">
        <v>318</v>
      </c>
      <c r="E1323" s="767"/>
      <c r="F1323" s="134"/>
      <c r="G1323" s="135"/>
      <c r="H1323" s="220" t="s">
        <v>319</v>
      </c>
      <c r="I1323" s="221">
        <f>SUM(I1333)</f>
        <v>10154760</v>
      </c>
      <c r="J1323" s="221"/>
      <c r="K1323" s="222">
        <f>SUM(I1323:J1323)</f>
        <v>10154760</v>
      </c>
      <c r="L1323" s="887"/>
      <c r="M1323" s="1223"/>
      <c r="N1323" s="61"/>
      <c r="O1323" s="61"/>
    </row>
    <row r="1324" spans="1:15" s="642" customFormat="1" x14ac:dyDescent="0.2">
      <c r="A1324" s="108"/>
      <c r="B1324" s="890"/>
      <c r="C1324" s="116"/>
      <c r="D1324" s="126"/>
      <c r="E1324" s="248"/>
      <c r="F1324" s="37"/>
      <c r="G1324" s="30"/>
      <c r="H1324" s="29"/>
      <c r="I1324" s="60"/>
      <c r="J1324" s="60"/>
      <c r="K1324" s="200"/>
      <c r="L1324" s="27"/>
      <c r="M1324" s="1223"/>
      <c r="N1324" s="61"/>
      <c r="O1324" s="61"/>
    </row>
    <row r="1325" spans="1:15" s="642" customFormat="1" x14ac:dyDescent="0.2">
      <c r="A1325" s="94"/>
      <c r="B1325" s="111"/>
      <c r="C1325" s="111">
        <v>620</v>
      </c>
      <c r="D1325" s="129"/>
      <c r="E1325" s="128"/>
      <c r="F1325" s="1"/>
      <c r="G1325" s="40"/>
      <c r="H1325" s="168" t="s">
        <v>142</v>
      </c>
      <c r="I1325" s="171"/>
      <c r="J1325" s="171"/>
      <c r="K1325" s="172"/>
      <c r="L1325" s="27"/>
      <c r="M1325" s="1223"/>
      <c r="N1325" s="61"/>
      <c r="O1325" s="61"/>
    </row>
    <row r="1326" spans="1:15" s="642" customFormat="1" x14ac:dyDescent="0.2">
      <c r="A1326" s="94"/>
      <c r="B1326" s="111"/>
      <c r="C1326" s="888"/>
      <c r="D1326" s="1027"/>
      <c r="E1326" s="1065"/>
      <c r="F1326" s="201"/>
      <c r="G1326" s="40"/>
      <c r="H1326" s="50"/>
      <c r="I1326" s="47"/>
      <c r="J1326" s="47"/>
      <c r="K1326" s="199"/>
      <c r="L1326" s="27"/>
      <c r="M1326" s="1223"/>
      <c r="N1326" s="61"/>
      <c r="O1326" s="61"/>
    </row>
    <row r="1327" spans="1:15" s="893" customFormat="1" x14ac:dyDescent="0.2">
      <c r="A1327" s="94"/>
      <c r="B1327" s="111"/>
      <c r="C1327" s="111"/>
      <c r="D1327" s="98"/>
      <c r="E1327" s="176"/>
      <c r="F1327" s="1"/>
      <c r="G1327" s="38"/>
      <c r="H1327" s="136" t="s">
        <v>511</v>
      </c>
      <c r="I1327" s="139"/>
      <c r="J1327" s="139"/>
      <c r="K1327" s="140"/>
      <c r="L1327" s="27"/>
      <c r="M1327" s="1224"/>
      <c r="N1327" s="892"/>
      <c r="O1327" s="892"/>
    </row>
    <row r="1328" spans="1:15" s="642" customFormat="1" x14ac:dyDescent="0.2">
      <c r="A1328" s="94"/>
      <c r="B1328" s="111"/>
      <c r="C1328" s="111"/>
      <c r="D1328" s="98"/>
      <c r="E1328" s="128" t="s">
        <v>606</v>
      </c>
      <c r="F1328" s="1"/>
      <c r="G1328" s="40"/>
      <c r="H1328" s="137" t="s">
        <v>703</v>
      </c>
      <c r="I1328" s="186"/>
      <c r="J1328" s="186"/>
      <c r="K1328" s="181"/>
      <c r="L1328" s="27"/>
      <c r="M1328" s="1223"/>
      <c r="N1328" s="61"/>
      <c r="O1328" s="61"/>
    </row>
    <row r="1329" spans="1:15" x14ac:dyDescent="0.2">
      <c r="A1329" s="390"/>
      <c r="B1329" s="371"/>
      <c r="C1329" s="371"/>
      <c r="D1329" s="374"/>
      <c r="E1329" s="377"/>
      <c r="F1329" s="134"/>
      <c r="G1329" s="165"/>
      <c r="H1329" s="144"/>
      <c r="I1329" s="149"/>
      <c r="J1329" s="149"/>
      <c r="K1329" s="198"/>
      <c r="L1329" s="358"/>
    </row>
    <row r="1330" spans="1:15" x14ac:dyDescent="0.2">
      <c r="A1330" s="106"/>
      <c r="B1330" s="113"/>
      <c r="C1330" s="122"/>
      <c r="D1330" s="103"/>
      <c r="E1330" s="250"/>
      <c r="F1330" s="124">
        <v>252</v>
      </c>
      <c r="G1330" s="95">
        <v>424</v>
      </c>
      <c r="H1330" s="89" t="s">
        <v>849</v>
      </c>
      <c r="I1330" s="160">
        <v>9564240</v>
      </c>
      <c r="J1330" s="160"/>
      <c r="K1330" s="160">
        <f>SUM(I1330+J1330)</f>
        <v>9564240</v>
      </c>
    </row>
    <row r="1331" spans="1:15" x14ac:dyDescent="0.2">
      <c r="A1331" s="106"/>
      <c r="B1331" s="113"/>
      <c r="C1331" s="122"/>
      <c r="D1331" s="103"/>
      <c r="E1331" s="250"/>
      <c r="F1331" s="124">
        <v>253</v>
      </c>
      <c r="G1331" s="154" t="s">
        <v>104</v>
      </c>
      <c r="H1331" s="449" t="s">
        <v>864</v>
      </c>
      <c r="I1331" s="160">
        <v>590520</v>
      </c>
      <c r="J1331" s="160"/>
      <c r="K1331" s="160">
        <f>SUM(I1331+J1331)</f>
        <v>590520</v>
      </c>
    </row>
    <row r="1332" spans="1:15" x14ac:dyDescent="0.2">
      <c r="A1332" s="106"/>
      <c r="B1332" s="113"/>
      <c r="C1332" s="122"/>
      <c r="D1332" s="103"/>
      <c r="E1332" s="250"/>
      <c r="F1332" s="1"/>
      <c r="G1332" s="38" t="s">
        <v>39</v>
      </c>
      <c r="H1332" s="90" t="s">
        <v>40</v>
      </c>
      <c r="I1332" s="160">
        <f>SUM(I1330:I1331)</f>
        <v>10154760</v>
      </c>
      <c r="J1332" s="160"/>
      <c r="K1332" s="160">
        <f>SUM(I1332+J1332)</f>
        <v>10154760</v>
      </c>
    </row>
    <row r="1333" spans="1:15" s="364" customFormat="1" x14ac:dyDescent="0.2">
      <c r="A1333" s="107"/>
      <c r="B1333" s="114"/>
      <c r="C1333" s="123"/>
      <c r="D1333" s="104"/>
      <c r="E1333" s="253"/>
      <c r="F1333" s="42"/>
      <c r="G1333" s="43"/>
      <c r="H1333" s="97" t="s">
        <v>797</v>
      </c>
      <c r="I1333" s="162">
        <f>SUM(I1332)</f>
        <v>10154760</v>
      </c>
      <c r="J1333" s="162"/>
      <c r="K1333" s="162">
        <f t="shared" ref="K1333" si="84">SUM(K1332)</f>
        <v>10154760</v>
      </c>
      <c r="L1333" s="26"/>
      <c r="M1333" s="1224"/>
      <c r="N1333" s="363"/>
      <c r="O1333" s="363"/>
    </row>
    <row r="1334" spans="1:15" x14ac:dyDescent="0.2">
      <c r="A1334" s="106"/>
      <c r="B1334" s="113"/>
      <c r="C1334" s="122"/>
      <c r="D1334" s="103"/>
      <c r="E1334" s="250"/>
      <c r="F1334" s="46"/>
      <c r="G1334" s="64"/>
      <c r="H1334" s="55"/>
      <c r="I1334" s="66"/>
      <c r="J1334" s="66"/>
      <c r="K1334" s="203"/>
    </row>
    <row r="1335" spans="1:15" s="642" customFormat="1" ht="22.5" x14ac:dyDescent="0.2">
      <c r="A1335" s="917"/>
      <c r="B1335" s="789"/>
      <c r="C1335" s="790"/>
      <c r="D1335" s="148" t="s">
        <v>310</v>
      </c>
      <c r="E1335" s="767"/>
      <c r="F1335" s="134"/>
      <c r="G1335" s="135"/>
      <c r="H1335" s="988" t="s">
        <v>557</v>
      </c>
      <c r="I1335" s="221">
        <f>SUM(I1345)</f>
        <v>213513391</v>
      </c>
      <c r="J1335" s="221"/>
      <c r="K1335" s="222">
        <f>SUM(I1335:J1335)</f>
        <v>213513391</v>
      </c>
      <c r="L1335" s="887"/>
      <c r="M1335" s="1223"/>
      <c r="N1335" s="61"/>
      <c r="O1335" s="61"/>
    </row>
    <row r="1336" spans="1:15" s="642" customFormat="1" x14ac:dyDescent="0.2">
      <c r="A1336" s="108"/>
      <c r="B1336" s="890"/>
      <c r="C1336" s="116"/>
      <c r="D1336" s="126"/>
      <c r="E1336" s="248"/>
      <c r="F1336" s="37"/>
      <c r="G1336" s="30"/>
      <c r="H1336" s="51"/>
      <c r="I1336" s="60"/>
      <c r="J1336" s="60"/>
      <c r="K1336" s="200"/>
      <c r="L1336" s="891"/>
      <c r="M1336" s="1223"/>
      <c r="N1336" s="61"/>
      <c r="O1336" s="61"/>
    </row>
    <row r="1337" spans="1:15" s="642" customFormat="1" x14ac:dyDescent="0.2">
      <c r="A1337" s="94"/>
      <c r="B1337" s="111"/>
      <c r="C1337" s="111">
        <v>620</v>
      </c>
      <c r="D1337" s="129"/>
      <c r="E1337" s="128"/>
      <c r="F1337" s="1"/>
      <c r="G1337" s="40"/>
      <c r="H1337" s="168" t="s">
        <v>142</v>
      </c>
      <c r="I1337" s="171"/>
      <c r="J1337" s="171"/>
      <c r="K1337" s="172"/>
      <c r="L1337" s="27"/>
      <c r="M1337" s="1223"/>
      <c r="N1337" s="61"/>
      <c r="O1337" s="61"/>
    </row>
    <row r="1338" spans="1:15" x14ac:dyDescent="0.2">
      <c r="A1338" s="106"/>
      <c r="B1338" s="113"/>
      <c r="C1338" s="113"/>
      <c r="D1338" s="425"/>
      <c r="E1338" s="128"/>
      <c r="F1338" s="1"/>
      <c r="G1338" s="40"/>
      <c r="H1338" s="56"/>
      <c r="I1338" s="47"/>
      <c r="J1338" s="47"/>
      <c r="K1338" s="199"/>
    </row>
    <row r="1339" spans="1:15" s="364" customFormat="1" x14ac:dyDescent="0.2">
      <c r="A1339" s="106"/>
      <c r="B1339" s="113"/>
      <c r="C1339" s="122"/>
      <c r="D1339" s="103"/>
      <c r="E1339" s="176"/>
      <c r="F1339" s="1"/>
      <c r="G1339" s="38"/>
      <c r="H1339" s="136" t="s">
        <v>294</v>
      </c>
      <c r="I1339" s="180"/>
      <c r="J1339" s="139"/>
      <c r="K1339" s="140"/>
      <c r="L1339" s="26"/>
      <c r="M1339" s="1224"/>
      <c r="N1339" s="363"/>
      <c r="O1339" s="363"/>
    </row>
    <row r="1340" spans="1:15" s="327" customFormat="1" x14ac:dyDescent="0.2">
      <c r="A1340" s="106"/>
      <c r="B1340" s="113"/>
      <c r="C1340" s="122"/>
      <c r="D1340" s="103"/>
      <c r="E1340" s="128" t="s">
        <v>311</v>
      </c>
      <c r="F1340" s="1"/>
      <c r="G1340" s="40"/>
      <c r="H1340" s="137" t="s">
        <v>817</v>
      </c>
      <c r="I1340" s="141"/>
      <c r="J1340" s="186"/>
      <c r="K1340" s="181"/>
      <c r="L1340" s="26"/>
      <c r="M1340" s="1225"/>
      <c r="N1340" s="326"/>
      <c r="O1340" s="326"/>
    </row>
    <row r="1341" spans="1:15" x14ac:dyDescent="0.2">
      <c r="A1341" s="390"/>
      <c r="B1341" s="371"/>
      <c r="C1341" s="372"/>
      <c r="D1341" s="370"/>
      <c r="E1341" s="148"/>
      <c r="F1341" s="134"/>
      <c r="G1341" s="165"/>
      <c r="H1341" s="144"/>
      <c r="I1341" s="145"/>
      <c r="J1341" s="149"/>
      <c r="K1341" s="198"/>
      <c r="L1341" s="358"/>
    </row>
    <row r="1342" spans="1:15" x14ac:dyDescent="0.2">
      <c r="A1342" s="106"/>
      <c r="B1342" s="113"/>
      <c r="C1342" s="122"/>
      <c r="D1342" s="103"/>
      <c r="E1342" s="176"/>
      <c r="F1342" s="124">
        <v>254</v>
      </c>
      <c r="G1342" s="95">
        <v>424</v>
      </c>
      <c r="H1342" s="89" t="s">
        <v>850</v>
      </c>
      <c r="I1342" s="187">
        <v>197731320</v>
      </c>
      <c r="J1342" s="187"/>
      <c r="K1342" s="187">
        <f>SUM(I1342+J1342)</f>
        <v>197731320</v>
      </c>
    </row>
    <row r="1343" spans="1:15" x14ac:dyDescent="0.2">
      <c r="A1343" s="107"/>
      <c r="B1343" s="114"/>
      <c r="C1343" s="123"/>
      <c r="D1343" s="104"/>
      <c r="E1343" s="177"/>
      <c r="F1343" s="124">
        <v>255</v>
      </c>
      <c r="G1343" s="95">
        <v>451</v>
      </c>
      <c r="H1343" s="449" t="s">
        <v>864</v>
      </c>
      <c r="I1343" s="187">
        <v>15782071</v>
      </c>
      <c r="J1343" s="187"/>
      <c r="K1343" s="187">
        <f>SUM(I1343+J1343)</f>
        <v>15782071</v>
      </c>
    </row>
    <row r="1344" spans="1:15" x14ac:dyDescent="0.2">
      <c r="A1344" s="106"/>
      <c r="B1344" s="113"/>
      <c r="C1344" s="122"/>
      <c r="D1344" s="103"/>
      <c r="E1344" s="176"/>
      <c r="F1344" s="1"/>
      <c r="G1344" s="38" t="s">
        <v>39</v>
      </c>
      <c r="H1344" s="90" t="s">
        <v>40</v>
      </c>
      <c r="I1344" s="187">
        <f>SUM(I1342:I1343)</f>
        <v>213513391</v>
      </c>
      <c r="J1344" s="188"/>
      <c r="K1344" s="187">
        <f>SUM(I1344+J1344)</f>
        <v>213513391</v>
      </c>
    </row>
    <row r="1345" spans="1:15" s="364" customFormat="1" x14ac:dyDescent="0.2">
      <c r="A1345" s="107"/>
      <c r="B1345" s="114"/>
      <c r="C1345" s="123"/>
      <c r="D1345" s="104"/>
      <c r="E1345" s="177"/>
      <c r="F1345" s="42"/>
      <c r="G1345" s="43"/>
      <c r="H1345" s="97" t="s">
        <v>783</v>
      </c>
      <c r="I1345" s="162">
        <f>SUM(I1344)</f>
        <v>213513391</v>
      </c>
      <c r="J1345" s="162"/>
      <c r="K1345" s="162">
        <f t="shared" ref="K1345" si="85">SUM(K1344)</f>
        <v>213513391</v>
      </c>
      <c r="L1345" s="26"/>
      <c r="M1345" s="1224"/>
      <c r="N1345" s="363"/>
      <c r="O1345" s="363"/>
    </row>
    <row r="1346" spans="1:15" x14ac:dyDescent="0.2">
      <c r="A1346" s="106"/>
      <c r="B1346" s="113"/>
      <c r="C1346" s="122"/>
      <c r="D1346" s="103"/>
      <c r="E1346" s="250"/>
      <c r="F1346" s="46"/>
      <c r="G1346" s="314"/>
      <c r="H1346" s="314"/>
      <c r="I1346" s="314"/>
      <c r="J1346" s="63"/>
      <c r="K1346" s="203"/>
    </row>
    <row r="1347" spans="1:15" s="642" customFormat="1" x14ac:dyDescent="0.2">
      <c r="A1347" s="917"/>
      <c r="B1347" s="789"/>
      <c r="C1347" s="790"/>
      <c r="D1347" s="148" t="s">
        <v>298</v>
      </c>
      <c r="E1347" s="767"/>
      <c r="F1347" s="134"/>
      <c r="G1347" s="135"/>
      <c r="H1347" s="220" t="s">
        <v>299</v>
      </c>
      <c r="I1347" s="221">
        <f>SUM(I1357)</f>
        <v>102388000</v>
      </c>
      <c r="J1347" s="908"/>
      <c r="K1347" s="222">
        <f>SUM(I1347:J1347)</f>
        <v>102388000</v>
      </c>
      <c r="L1347" s="887"/>
      <c r="M1347" s="1223"/>
      <c r="N1347" s="61"/>
      <c r="O1347" s="61"/>
    </row>
    <row r="1348" spans="1:15" s="642" customFormat="1" x14ac:dyDescent="0.2">
      <c r="A1348" s="917"/>
      <c r="B1348" s="789"/>
      <c r="C1348" s="790"/>
      <c r="D1348" s="148"/>
      <c r="E1348" s="767"/>
      <c r="F1348" s="134"/>
      <c r="G1348" s="135"/>
      <c r="H1348" s="144"/>
      <c r="I1348" s="149"/>
      <c r="J1348" s="145"/>
      <c r="K1348" s="198"/>
      <c r="L1348" s="887"/>
      <c r="M1348" s="1223"/>
      <c r="N1348" s="61"/>
      <c r="O1348" s="61"/>
    </row>
    <row r="1349" spans="1:15" s="642" customFormat="1" x14ac:dyDescent="0.2">
      <c r="A1349" s="94"/>
      <c r="B1349" s="111"/>
      <c r="C1349" s="111">
        <v>620</v>
      </c>
      <c r="D1349" s="129"/>
      <c r="E1349" s="128"/>
      <c r="F1349" s="1"/>
      <c r="G1349" s="40"/>
      <c r="H1349" s="56" t="s">
        <v>142</v>
      </c>
      <c r="I1349" s="47"/>
      <c r="J1349" s="47"/>
      <c r="K1349" s="199"/>
      <c r="L1349" s="27"/>
      <c r="M1349" s="1223"/>
      <c r="N1349" s="61"/>
      <c r="O1349" s="61"/>
    </row>
    <row r="1350" spans="1:15" x14ac:dyDescent="0.2">
      <c r="A1350" s="106"/>
      <c r="B1350" s="113"/>
      <c r="C1350" s="113"/>
      <c r="D1350" s="425"/>
      <c r="E1350" s="128"/>
      <c r="F1350" s="1"/>
      <c r="G1350" s="40"/>
      <c r="H1350" s="56"/>
      <c r="I1350" s="47"/>
      <c r="J1350" s="47"/>
      <c r="K1350" s="199"/>
    </row>
    <row r="1351" spans="1:15" s="364" customFormat="1" x14ac:dyDescent="0.2">
      <c r="A1351" s="106"/>
      <c r="B1351" s="113"/>
      <c r="C1351" s="122"/>
      <c r="D1351" s="103"/>
      <c r="E1351" s="176"/>
      <c r="F1351" s="1"/>
      <c r="G1351" s="38"/>
      <c r="H1351" s="136" t="s">
        <v>511</v>
      </c>
      <c r="I1351" s="180"/>
      <c r="J1351" s="139"/>
      <c r="K1351" s="140"/>
      <c r="L1351" s="26"/>
      <c r="M1351" s="1224"/>
      <c r="N1351" s="363"/>
      <c r="O1351" s="363"/>
    </row>
    <row r="1352" spans="1:15" s="364" customFormat="1" x14ac:dyDescent="0.2">
      <c r="A1352" s="106"/>
      <c r="B1352" s="113"/>
      <c r="C1352" s="122"/>
      <c r="D1352" s="103"/>
      <c r="E1352" s="128" t="s">
        <v>571</v>
      </c>
      <c r="F1352" s="39"/>
      <c r="G1352" s="451"/>
      <c r="H1352" s="137" t="s">
        <v>572</v>
      </c>
      <c r="I1352" s="141"/>
      <c r="J1352" s="186"/>
      <c r="K1352" s="181"/>
      <c r="L1352" s="26"/>
      <c r="M1352" s="1224"/>
      <c r="N1352" s="363"/>
      <c r="O1352" s="363"/>
    </row>
    <row r="1353" spans="1:15" x14ac:dyDescent="0.2">
      <c r="A1353" s="390"/>
      <c r="B1353" s="371"/>
      <c r="C1353" s="372"/>
      <c r="D1353" s="370"/>
      <c r="E1353" s="148"/>
      <c r="F1353" s="134"/>
      <c r="G1353" s="165"/>
      <c r="H1353" s="144"/>
      <c r="I1353" s="145"/>
      <c r="J1353" s="149"/>
      <c r="K1353" s="198"/>
      <c r="L1353" s="358"/>
    </row>
    <row r="1354" spans="1:15" x14ac:dyDescent="0.2">
      <c r="A1354" s="426"/>
      <c r="B1354" s="427"/>
      <c r="C1354" s="428"/>
      <c r="D1354" s="429"/>
      <c r="E1354" s="252"/>
      <c r="F1354" s="212">
        <v>256</v>
      </c>
      <c r="G1354" s="193" t="s">
        <v>51</v>
      </c>
      <c r="H1354" s="175" t="s">
        <v>851</v>
      </c>
      <c r="I1354" s="187">
        <v>4388000</v>
      </c>
      <c r="J1354" s="187"/>
      <c r="K1354" s="187">
        <f>SUM(I1354:J1354)</f>
        <v>4388000</v>
      </c>
      <c r="L1354" s="361"/>
    </row>
    <row r="1355" spans="1:15" x14ac:dyDescent="0.2">
      <c r="A1355" s="385"/>
      <c r="B1355" s="382"/>
      <c r="C1355" s="383"/>
      <c r="D1355" s="277"/>
      <c r="E1355" s="248"/>
      <c r="F1355" s="284">
        <v>257</v>
      </c>
      <c r="G1355" s="193" t="s">
        <v>104</v>
      </c>
      <c r="H1355" s="449" t="s">
        <v>864</v>
      </c>
      <c r="I1355" s="187">
        <v>98000000</v>
      </c>
      <c r="J1355" s="187"/>
      <c r="K1355" s="187">
        <f>SUM(I1355:J1355)</f>
        <v>98000000</v>
      </c>
      <c r="L1355" s="361"/>
    </row>
    <row r="1356" spans="1:15" x14ac:dyDescent="0.2">
      <c r="A1356" s="385"/>
      <c r="B1356" s="382"/>
      <c r="C1356" s="383"/>
      <c r="D1356" s="277"/>
      <c r="E1356" s="248"/>
      <c r="F1356" s="37"/>
      <c r="G1356" s="38" t="s">
        <v>39</v>
      </c>
      <c r="H1356" s="90" t="s">
        <v>40</v>
      </c>
      <c r="I1356" s="160">
        <f>SUM(I1354:I1355)</f>
        <v>102388000</v>
      </c>
      <c r="J1356" s="161"/>
      <c r="K1356" s="160">
        <f>SUM(I1356+J1356)</f>
        <v>102388000</v>
      </c>
      <c r="L1356" s="361"/>
    </row>
    <row r="1357" spans="1:15" s="364" customFormat="1" x14ac:dyDescent="0.2">
      <c r="A1357" s="385"/>
      <c r="B1357" s="382"/>
      <c r="C1357" s="383"/>
      <c r="D1357" s="277"/>
      <c r="E1357" s="248"/>
      <c r="F1357" s="37"/>
      <c r="G1357" s="1"/>
      <c r="H1357" s="97" t="s">
        <v>795</v>
      </c>
      <c r="I1357" s="162">
        <f>SUM(I1356)</f>
        <v>102388000</v>
      </c>
      <c r="J1357" s="162"/>
      <c r="K1357" s="162">
        <f>SUM(K1356)</f>
        <v>102388000</v>
      </c>
      <c r="L1357" s="361"/>
      <c r="M1357" s="1224"/>
      <c r="N1357" s="363"/>
      <c r="O1357" s="363"/>
    </row>
    <row r="1358" spans="1:15" s="327" customFormat="1" x14ac:dyDescent="0.2">
      <c r="A1358" s="385"/>
      <c r="B1358" s="382"/>
      <c r="C1358" s="383"/>
      <c r="D1358" s="127"/>
      <c r="E1358" s="251"/>
      <c r="F1358" s="54"/>
      <c r="G1358" s="67"/>
      <c r="H1358" s="70"/>
      <c r="I1358" s="66"/>
      <c r="J1358" s="204"/>
      <c r="K1358" s="203"/>
      <c r="L1358" s="361"/>
      <c r="M1358" s="1225"/>
      <c r="N1358" s="326"/>
      <c r="O1358" s="326"/>
    </row>
    <row r="1359" spans="1:15" s="896" customFormat="1" x14ac:dyDescent="0.2">
      <c r="A1359" s="917"/>
      <c r="B1359" s="789"/>
      <c r="C1359" s="790"/>
      <c r="D1359" s="148" t="s">
        <v>559</v>
      </c>
      <c r="E1359" s="767"/>
      <c r="F1359" s="134"/>
      <c r="G1359" s="135"/>
      <c r="H1359" s="220" t="s">
        <v>560</v>
      </c>
      <c r="I1359" s="221">
        <f>SUM(I1392+I1397+I1402+I1407+I1412+I1419+I1424+I1429+I1434+I1440+I1445+I1450+I1456+I1462+I1506+I1467+I1472+I1478+I1484+I1489+I1494+I1500+I1511+I1519+I1524+I1529+I1535+I1379+I1373+I1368+I1386+I1540)</f>
        <v>117513644.20999999</v>
      </c>
      <c r="J1359" s="221"/>
      <c r="K1359" s="222">
        <f>SUM(I1359:J1359)</f>
        <v>117513644.20999999</v>
      </c>
      <c r="L1359" s="887"/>
      <c r="M1359" s="1225"/>
      <c r="N1359" s="895"/>
      <c r="O1359" s="895"/>
    </row>
    <row r="1360" spans="1:15" s="896" customFormat="1" x14ac:dyDescent="0.2">
      <c r="A1360" s="108"/>
      <c r="B1360" s="890"/>
      <c r="C1360" s="116"/>
      <c r="D1360" s="126"/>
      <c r="E1360" s="248"/>
      <c r="F1360" s="37"/>
      <c r="G1360" s="30"/>
      <c r="H1360" s="29"/>
      <c r="I1360" s="60"/>
      <c r="J1360" s="60"/>
      <c r="K1360" s="200"/>
      <c r="L1360" s="27"/>
      <c r="M1360" s="1225"/>
      <c r="N1360" s="895"/>
      <c r="O1360" s="895"/>
    </row>
    <row r="1361" spans="1:15" s="896" customFormat="1" x14ac:dyDescent="0.2">
      <c r="A1361" s="94"/>
      <c r="B1361" s="111"/>
      <c r="C1361" s="111">
        <v>620</v>
      </c>
      <c r="D1361" s="129"/>
      <c r="E1361" s="128"/>
      <c r="F1361" s="1"/>
      <c r="G1361" s="40"/>
      <c r="H1361" s="168" t="s">
        <v>142</v>
      </c>
      <c r="I1361" s="171"/>
      <c r="J1361" s="171"/>
      <c r="K1361" s="172"/>
      <c r="L1361" s="27"/>
      <c r="M1361" s="1225"/>
      <c r="N1361" s="895"/>
      <c r="O1361" s="895"/>
    </row>
    <row r="1362" spans="1:15" s="642" customFormat="1" x14ac:dyDescent="0.2">
      <c r="A1362" s="94"/>
      <c r="B1362" s="111"/>
      <c r="C1362" s="111"/>
      <c r="D1362" s="129"/>
      <c r="E1362" s="128"/>
      <c r="F1362" s="1"/>
      <c r="G1362" s="40"/>
      <c r="H1362" s="56"/>
      <c r="I1362" s="47"/>
      <c r="J1362" s="47"/>
      <c r="K1362" s="199"/>
      <c r="L1362" s="27"/>
      <c r="M1362" s="1223"/>
      <c r="N1362" s="61"/>
      <c r="O1362" s="61"/>
    </row>
    <row r="1363" spans="1:15" s="893" customFormat="1" x14ac:dyDescent="0.2">
      <c r="A1363" s="94"/>
      <c r="B1363" s="111"/>
      <c r="C1363" s="111"/>
      <c r="D1363" s="129"/>
      <c r="E1363" s="128"/>
      <c r="F1363" s="1"/>
      <c r="G1363" s="40"/>
      <c r="H1363" s="56"/>
      <c r="I1363" s="47"/>
      <c r="J1363" s="47"/>
      <c r="K1363" s="199"/>
      <c r="L1363" s="27"/>
      <c r="M1363" s="1224"/>
      <c r="N1363" s="892"/>
      <c r="O1363" s="892"/>
    </row>
    <row r="1364" spans="1:15" s="642" customFormat="1" ht="22.5" x14ac:dyDescent="0.2">
      <c r="A1364" s="94"/>
      <c r="B1364" s="111"/>
      <c r="C1364" s="111"/>
      <c r="D1364" s="129"/>
      <c r="E1364" s="128"/>
      <c r="F1364" s="1"/>
      <c r="G1364" s="38"/>
      <c r="H1364" s="1261" t="s">
        <v>1117</v>
      </c>
      <c r="I1364" s="670"/>
      <c r="J1364" s="670"/>
      <c r="K1364" s="1262"/>
      <c r="L1364" s="27"/>
      <c r="M1364" s="1223"/>
      <c r="N1364" s="61"/>
      <c r="O1364" s="61"/>
    </row>
    <row r="1365" spans="1:15" s="642" customFormat="1" x14ac:dyDescent="0.2">
      <c r="A1365" s="94"/>
      <c r="B1365" s="111"/>
      <c r="C1365" s="111"/>
      <c r="D1365" s="129"/>
      <c r="E1365" s="128"/>
      <c r="F1365" s="95">
        <v>258</v>
      </c>
      <c r="G1365" s="154" t="s">
        <v>51</v>
      </c>
      <c r="H1365" s="175" t="s">
        <v>10</v>
      </c>
      <c r="I1365" s="1278">
        <v>1</v>
      </c>
      <c r="J1365" s="187"/>
      <c r="K1365" s="187">
        <f>SUM(I1365:J1365)</f>
        <v>1</v>
      </c>
      <c r="L1365" s="27"/>
      <c r="M1365" s="1223"/>
      <c r="N1365" s="61"/>
      <c r="O1365" s="61"/>
    </row>
    <row r="1366" spans="1:15" s="642" customFormat="1" x14ac:dyDescent="0.2">
      <c r="A1366" s="94"/>
      <c r="B1366" s="111"/>
      <c r="C1366" s="111"/>
      <c r="D1366" s="129"/>
      <c r="E1366" s="128"/>
      <c r="F1366" s="95">
        <v>259</v>
      </c>
      <c r="G1366" s="154" t="s">
        <v>332</v>
      </c>
      <c r="H1366" s="90" t="s">
        <v>20</v>
      </c>
      <c r="I1366" s="1278">
        <v>1854000</v>
      </c>
      <c r="J1366" s="187"/>
      <c r="K1366" s="187">
        <f>SUM(I1366:J1366)</f>
        <v>1854000</v>
      </c>
      <c r="L1366" s="27"/>
      <c r="M1366" s="1223"/>
      <c r="N1366" s="61"/>
      <c r="O1366" s="61"/>
    </row>
    <row r="1367" spans="1:15" s="642" customFormat="1" x14ac:dyDescent="0.2">
      <c r="A1367" s="94"/>
      <c r="B1367" s="111"/>
      <c r="C1367" s="111"/>
      <c r="D1367" s="129"/>
      <c r="E1367" s="128"/>
      <c r="F1367" s="1"/>
      <c r="G1367" s="526" t="s">
        <v>39</v>
      </c>
      <c r="H1367" s="90" t="s">
        <v>40</v>
      </c>
      <c r="I1367" s="188">
        <f>SUM(I1365:I1366)</f>
        <v>1854001</v>
      </c>
      <c r="J1367" s="188"/>
      <c r="K1367" s="188">
        <f>SUM(I1367:J1367)</f>
        <v>1854001</v>
      </c>
      <c r="L1367" s="27"/>
      <c r="M1367" s="1223"/>
      <c r="N1367" s="61"/>
      <c r="O1367" s="61"/>
    </row>
    <row r="1368" spans="1:15" s="642" customFormat="1" x14ac:dyDescent="0.2">
      <c r="A1368" s="94"/>
      <c r="B1368" s="111"/>
      <c r="C1368" s="111"/>
      <c r="D1368" s="129"/>
      <c r="E1368" s="128"/>
      <c r="F1368" s="1"/>
      <c r="G1368" s="38"/>
      <c r="H1368" s="97" t="s">
        <v>355</v>
      </c>
      <c r="I1368" s="162">
        <f>SUM(I1367)</f>
        <v>1854001</v>
      </c>
      <c r="J1368" s="162"/>
      <c r="K1368" s="162">
        <f>SUM(K1367)</f>
        <v>1854001</v>
      </c>
      <c r="L1368" s="27"/>
      <c r="M1368" s="1223"/>
      <c r="N1368" s="61"/>
      <c r="O1368" s="61"/>
    </row>
    <row r="1369" spans="1:15" x14ac:dyDescent="0.2">
      <c r="A1369" s="106"/>
      <c r="B1369" s="113"/>
      <c r="C1369" s="113"/>
      <c r="D1369" s="425"/>
      <c r="E1369" s="213"/>
      <c r="F1369" s="46"/>
      <c r="G1369" s="64"/>
      <c r="H1369" s="411"/>
      <c r="I1369" s="247"/>
      <c r="J1369" s="430"/>
      <c r="K1369" s="247"/>
    </row>
    <row r="1370" spans="1:15" ht="22.5" x14ac:dyDescent="0.2">
      <c r="A1370" s="106"/>
      <c r="B1370" s="113"/>
      <c r="C1370" s="113"/>
      <c r="D1370" s="425"/>
      <c r="E1370" s="213"/>
      <c r="F1370" s="1"/>
      <c r="G1370" s="38"/>
      <c r="H1370" s="1261" t="s">
        <v>852</v>
      </c>
      <c r="I1370" s="1259"/>
      <c r="J1370" s="1259"/>
      <c r="K1370" s="1260"/>
    </row>
    <row r="1371" spans="1:15" x14ac:dyDescent="0.2">
      <c r="A1371" s="106"/>
      <c r="B1371" s="113"/>
      <c r="C1371" s="113"/>
      <c r="D1371" s="425"/>
      <c r="E1371" s="213"/>
      <c r="F1371" s="95">
        <v>260</v>
      </c>
      <c r="G1371" s="154" t="s">
        <v>332</v>
      </c>
      <c r="H1371" s="90" t="s">
        <v>20</v>
      </c>
      <c r="I1371" s="187">
        <v>500000</v>
      </c>
      <c r="J1371" s="187"/>
      <c r="K1371" s="187">
        <f>SUM(I1371:J1371)</f>
        <v>500000</v>
      </c>
    </row>
    <row r="1372" spans="1:15" x14ac:dyDescent="0.2">
      <c r="A1372" s="106"/>
      <c r="B1372" s="113"/>
      <c r="C1372" s="113"/>
      <c r="D1372" s="425"/>
      <c r="E1372" s="213"/>
      <c r="F1372" s="1"/>
      <c r="G1372" s="526" t="s">
        <v>39</v>
      </c>
      <c r="H1372" s="90" t="s">
        <v>40</v>
      </c>
      <c r="I1372" s="188">
        <f>SUM(I1371:I1371)</f>
        <v>500000</v>
      </c>
      <c r="J1372" s="188"/>
      <c r="K1372" s="188">
        <f>SUM(I1372:J1372)</f>
        <v>500000</v>
      </c>
    </row>
    <row r="1373" spans="1:15" x14ac:dyDescent="0.2">
      <c r="A1373" s="106"/>
      <c r="B1373" s="113"/>
      <c r="C1373" s="113"/>
      <c r="D1373" s="425"/>
      <c r="E1373" s="213"/>
      <c r="F1373" s="1"/>
      <c r="G1373" s="38"/>
      <c r="H1373" s="97" t="s">
        <v>343</v>
      </c>
      <c r="I1373" s="162">
        <f>SUM(I1372)</f>
        <v>500000</v>
      </c>
      <c r="J1373" s="162"/>
      <c r="K1373" s="162">
        <f>SUM(K1372)</f>
        <v>500000</v>
      </c>
    </row>
    <row r="1374" spans="1:15" ht="24.75" customHeight="1" x14ac:dyDescent="0.2">
      <c r="A1374" s="106"/>
      <c r="B1374" s="113"/>
      <c r="C1374" s="113"/>
      <c r="D1374" s="425"/>
      <c r="E1374" s="213"/>
      <c r="F1374" s="1"/>
      <c r="G1374" s="38"/>
      <c r="H1374" s="29"/>
      <c r="I1374" s="60"/>
      <c r="J1374" s="60"/>
      <c r="K1374" s="200"/>
    </row>
    <row r="1375" spans="1:15" s="642" customFormat="1" ht="22.5" x14ac:dyDescent="0.2">
      <c r="A1375" s="94"/>
      <c r="B1375" s="111"/>
      <c r="C1375" s="111"/>
      <c r="D1375" s="129"/>
      <c r="E1375" s="128"/>
      <c r="F1375" s="1"/>
      <c r="G1375" s="38"/>
      <c r="H1375" s="1258" t="s">
        <v>865</v>
      </c>
      <c r="I1375" s="1259"/>
      <c r="J1375" s="1259"/>
      <c r="K1375" s="1260"/>
      <c r="L1375" s="27"/>
      <c r="M1375" s="1223"/>
      <c r="N1375" s="61"/>
      <c r="O1375" s="61"/>
    </row>
    <row r="1376" spans="1:15" s="642" customFormat="1" x14ac:dyDescent="0.2">
      <c r="A1376" s="94"/>
      <c r="B1376" s="111"/>
      <c r="C1376" s="111"/>
      <c r="D1376" s="129"/>
      <c r="E1376" s="128"/>
      <c r="F1376" s="95">
        <v>261</v>
      </c>
      <c r="G1376" s="154" t="s">
        <v>51</v>
      </c>
      <c r="H1376" s="174" t="s">
        <v>10</v>
      </c>
      <c r="I1376" s="1084">
        <v>1000</v>
      </c>
      <c r="J1376" s="970"/>
      <c r="K1376" s="1084">
        <f>SUM(I1376:J1376)</f>
        <v>1000</v>
      </c>
      <c r="L1376" s="27"/>
      <c r="M1376" s="1223"/>
      <c r="N1376" s="61"/>
      <c r="O1376" s="61"/>
    </row>
    <row r="1377" spans="1:15" s="642" customFormat="1" x14ac:dyDescent="0.2">
      <c r="A1377" s="94"/>
      <c r="B1377" s="111"/>
      <c r="C1377" s="111"/>
      <c r="D1377" s="129"/>
      <c r="E1377" s="128"/>
      <c r="F1377" s="95">
        <v>262</v>
      </c>
      <c r="G1377" s="154" t="s">
        <v>332</v>
      </c>
      <c r="H1377" s="90" t="s">
        <v>20</v>
      </c>
      <c r="I1377" s="187">
        <v>1000</v>
      </c>
      <c r="J1377" s="187"/>
      <c r="K1377" s="187">
        <f>SUM(I1377:J1377)</f>
        <v>1000</v>
      </c>
      <c r="L1377" s="27"/>
      <c r="M1377" s="1223"/>
      <c r="N1377" s="61"/>
      <c r="O1377" s="61"/>
    </row>
    <row r="1378" spans="1:15" s="642" customFormat="1" x14ac:dyDescent="0.2">
      <c r="A1378" s="94"/>
      <c r="B1378" s="111"/>
      <c r="C1378" s="111"/>
      <c r="D1378" s="129"/>
      <c r="E1378" s="128"/>
      <c r="F1378" s="1"/>
      <c r="G1378" s="526" t="s">
        <v>39</v>
      </c>
      <c r="H1378" s="90" t="s">
        <v>40</v>
      </c>
      <c r="I1378" s="188">
        <f>SUM(I1376:I1377)</f>
        <v>2000</v>
      </c>
      <c r="J1378" s="188"/>
      <c r="K1378" s="188">
        <f>SUM(I1378:J1378)</f>
        <v>2000</v>
      </c>
      <c r="L1378" s="27"/>
      <c r="M1378" s="1223"/>
      <c r="N1378" s="61"/>
      <c r="O1378" s="61"/>
    </row>
    <row r="1379" spans="1:15" s="642" customFormat="1" ht="15" customHeight="1" x14ac:dyDescent="0.2">
      <c r="A1379" s="94"/>
      <c r="B1379" s="111"/>
      <c r="C1379" s="111"/>
      <c r="D1379" s="129"/>
      <c r="E1379" s="128"/>
      <c r="F1379" s="1"/>
      <c r="G1379" s="38"/>
      <c r="H1379" s="97" t="s">
        <v>344</v>
      </c>
      <c r="I1379" s="162">
        <f>SUM(I1378)</f>
        <v>2000</v>
      </c>
      <c r="J1379" s="162"/>
      <c r="K1379" s="162">
        <f>SUM(K1378)</f>
        <v>2000</v>
      </c>
      <c r="L1379" s="27"/>
      <c r="M1379" s="1223"/>
      <c r="N1379" s="61"/>
      <c r="O1379" s="61"/>
    </row>
    <row r="1380" spans="1:15" s="642" customFormat="1" ht="8.25" customHeight="1" x14ac:dyDescent="0.2">
      <c r="A1380" s="94"/>
      <c r="B1380" s="111"/>
      <c r="C1380" s="111"/>
      <c r="D1380" s="129"/>
      <c r="E1380" s="128"/>
      <c r="F1380" s="1"/>
      <c r="G1380" s="40"/>
      <c r="H1380" s="56"/>
      <c r="I1380" s="47"/>
      <c r="J1380" s="47"/>
      <c r="K1380" s="199"/>
      <c r="L1380" s="27"/>
      <c r="M1380" s="1223"/>
      <c r="N1380" s="61"/>
      <c r="O1380" s="61"/>
    </row>
    <row r="1381" spans="1:15" s="642" customFormat="1" ht="12.75" customHeight="1" x14ac:dyDescent="0.2">
      <c r="A1381" s="94"/>
      <c r="B1381" s="111"/>
      <c r="C1381" s="111"/>
      <c r="D1381" s="129"/>
      <c r="E1381" s="128"/>
      <c r="F1381" s="1"/>
      <c r="G1381" s="40"/>
      <c r="H1381" s="56"/>
      <c r="I1381" s="47"/>
      <c r="J1381" s="47"/>
      <c r="K1381" s="199"/>
      <c r="L1381" s="27"/>
      <c r="M1381" s="1223"/>
      <c r="N1381" s="61"/>
      <c r="O1381" s="61"/>
    </row>
    <row r="1382" spans="1:15" s="642" customFormat="1" ht="26.25" customHeight="1" x14ac:dyDescent="0.2">
      <c r="A1382" s="94"/>
      <c r="B1382" s="111"/>
      <c r="C1382" s="111"/>
      <c r="D1382" s="129"/>
      <c r="E1382" s="128"/>
      <c r="F1382" s="1"/>
      <c r="G1382" s="38"/>
      <c r="H1382" s="1261" t="s">
        <v>1041</v>
      </c>
      <c r="I1382" s="1259"/>
      <c r="J1382" s="1259"/>
      <c r="K1382" s="1260"/>
      <c r="L1382" s="27"/>
      <c r="M1382" s="1223"/>
      <c r="N1382" s="61"/>
      <c r="O1382" s="61"/>
    </row>
    <row r="1383" spans="1:15" s="642" customFormat="1" ht="13.5" customHeight="1" x14ac:dyDescent="0.2">
      <c r="A1383" s="94"/>
      <c r="B1383" s="111"/>
      <c r="C1383" s="111"/>
      <c r="D1383" s="129"/>
      <c r="E1383" s="128"/>
      <c r="F1383" s="95" t="s">
        <v>1042</v>
      </c>
      <c r="G1383" s="154" t="s">
        <v>51</v>
      </c>
      <c r="H1383" s="174" t="s">
        <v>10</v>
      </c>
      <c r="I1383" s="1282">
        <v>1</v>
      </c>
      <c r="J1383" s="970"/>
      <c r="K1383" s="1084">
        <f>SUM(I1383:J1383)</f>
        <v>1</v>
      </c>
      <c r="L1383" s="27"/>
      <c r="M1383" s="1223"/>
      <c r="N1383" s="61"/>
      <c r="O1383" s="61"/>
    </row>
    <row r="1384" spans="1:15" s="642" customFormat="1" ht="14.25" customHeight="1" x14ac:dyDescent="0.2">
      <c r="A1384" s="94"/>
      <c r="B1384" s="111"/>
      <c r="C1384" s="111"/>
      <c r="D1384" s="129"/>
      <c r="E1384" s="128"/>
      <c r="F1384" s="95" t="s">
        <v>1043</v>
      </c>
      <c r="G1384" s="154" t="s">
        <v>332</v>
      </c>
      <c r="H1384" s="90" t="s">
        <v>20</v>
      </c>
      <c r="I1384" s="1278">
        <v>4620000</v>
      </c>
      <c r="J1384" s="187"/>
      <c r="K1384" s="187">
        <f>SUM(I1384:J1384)</f>
        <v>4620000</v>
      </c>
      <c r="L1384" s="27"/>
      <c r="M1384" s="1223"/>
      <c r="N1384" s="61"/>
      <c r="O1384" s="61"/>
    </row>
    <row r="1385" spans="1:15" s="642" customFormat="1" ht="14.25" customHeight="1" x14ac:dyDescent="0.2">
      <c r="A1385" s="94"/>
      <c r="B1385" s="111"/>
      <c r="C1385" s="111"/>
      <c r="D1385" s="129"/>
      <c r="E1385" s="128"/>
      <c r="F1385" s="1"/>
      <c r="G1385" s="526" t="s">
        <v>39</v>
      </c>
      <c r="H1385" s="90" t="s">
        <v>40</v>
      </c>
      <c r="I1385" s="188">
        <f>SUM(I1383:I1384)</f>
        <v>4620001</v>
      </c>
      <c r="J1385" s="188"/>
      <c r="K1385" s="188">
        <f>SUM(I1385:J1385)</f>
        <v>4620001</v>
      </c>
      <c r="L1385" s="27"/>
      <c r="M1385" s="1223"/>
      <c r="N1385" s="61"/>
      <c r="O1385" s="61"/>
    </row>
    <row r="1386" spans="1:15" s="642" customFormat="1" ht="14.25" customHeight="1" x14ac:dyDescent="0.2">
      <c r="A1386" s="94"/>
      <c r="B1386" s="111"/>
      <c r="C1386" s="111"/>
      <c r="D1386" s="129"/>
      <c r="E1386" s="128"/>
      <c r="F1386" s="1"/>
      <c r="G1386" s="38"/>
      <c r="H1386" s="97" t="s">
        <v>344</v>
      </c>
      <c r="I1386" s="162">
        <f>SUM(I1385)</f>
        <v>4620001</v>
      </c>
      <c r="J1386" s="162"/>
      <c r="K1386" s="162">
        <f>SUM(K1385)</f>
        <v>4620001</v>
      </c>
      <c r="L1386" s="27"/>
      <c r="M1386" s="1223"/>
      <c r="N1386" s="61"/>
      <c r="O1386" s="61"/>
    </row>
    <row r="1387" spans="1:15" ht="14.25" customHeight="1" x14ac:dyDescent="0.2">
      <c r="A1387" s="106"/>
      <c r="B1387" s="113"/>
      <c r="C1387" s="113"/>
      <c r="D1387" s="425"/>
      <c r="E1387" s="213"/>
      <c r="F1387" s="46"/>
      <c r="G1387" s="219"/>
      <c r="H1387" s="279"/>
      <c r="I1387" s="59"/>
      <c r="J1387" s="59"/>
      <c r="K1387" s="373"/>
    </row>
    <row r="1388" spans="1:15" s="642" customFormat="1" ht="22.5" x14ac:dyDescent="0.2">
      <c r="A1388" s="94"/>
      <c r="B1388" s="111"/>
      <c r="C1388" s="111"/>
      <c r="D1388" s="129"/>
      <c r="E1388" s="128"/>
      <c r="F1388" s="1"/>
      <c r="G1388" s="1085"/>
      <c r="H1388" s="1257" t="s">
        <v>866</v>
      </c>
      <c r="I1388" s="1086"/>
      <c r="J1388" s="1086"/>
      <c r="K1388" s="1087"/>
      <c r="L1388" s="27"/>
      <c r="M1388" s="1223"/>
      <c r="N1388" s="61"/>
      <c r="O1388" s="61"/>
    </row>
    <row r="1389" spans="1:15" s="642" customFormat="1" x14ac:dyDescent="0.2">
      <c r="A1389" s="94"/>
      <c r="B1389" s="111"/>
      <c r="C1389" s="111"/>
      <c r="D1389" s="129"/>
      <c r="E1389" s="128"/>
      <c r="F1389" s="95">
        <v>263</v>
      </c>
      <c r="G1389" s="1088" t="s">
        <v>51</v>
      </c>
      <c r="H1389" s="174" t="s">
        <v>10</v>
      </c>
      <c r="I1389" s="241">
        <v>1250591.06</v>
      </c>
      <c r="J1389" s="241"/>
      <c r="K1389" s="241">
        <f>SUM(I1389:J1389)</f>
        <v>1250591.06</v>
      </c>
      <c r="L1389" s="27"/>
      <c r="M1389" s="1223"/>
      <c r="N1389" s="61"/>
      <c r="O1389" s="61"/>
    </row>
    <row r="1390" spans="1:15" s="642" customFormat="1" x14ac:dyDescent="0.2">
      <c r="A1390" s="94"/>
      <c r="B1390" s="111"/>
      <c r="C1390" s="111"/>
      <c r="D1390" s="129"/>
      <c r="E1390" s="128"/>
      <c r="F1390" s="95">
        <v>264</v>
      </c>
      <c r="G1390" s="1088" t="s">
        <v>332</v>
      </c>
      <c r="H1390" s="174" t="s">
        <v>20</v>
      </c>
      <c r="I1390" s="241">
        <v>63780144.159999996</v>
      </c>
      <c r="J1390" s="241"/>
      <c r="K1390" s="241">
        <f t="shared" ref="K1390:K1392" si="86">SUM(I1390:J1390)</f>
        <v>63780144.159999996</v>
      </c>
      <c r="L1390" s="27"/>
      <c r="M1390" s="1223"/>
      <c r="N1390" s="61"/>
      <c r="O1390" s="61"/>
    </row>
    <row r="1391" spans="1:15" s="642" customFormat="1" x14ac:dyDescent="0.2">
      <c r="A1391" s="94"/>
      <c r="B1391" s="111"/>
      <c r="C1391" s="111"/>
      <c r="D1391" s="129"/>
      <c r="E1391" s="128"/>
      <c r="F1391" s="1"/>
      <c r="G1391" s="1085" t="s">
        <v>39</v>
      </c>
      <c r="H1391" s="174" t="s">
        <v>40</v>
      </c>
      <c r="I1391" s="241">
        <f>SUM(I1389:I1390)</f>
        <v>65030735.219999999</v>
      </c>
      <c r="J1391" s="241"/>
      <c r="K1391" s="241">
        <f t="shared" si="86"/>
        <v>65030735.219999999</v>
      </c>
      <c r="L1391" s="27"/>
      <c r="M1391" s="1223"/>
      <c r="N1391" s="61"/>
      <c r="O1391" s="61"/>
    </row>
    <row r="1392" spans="1:15" s="642" customFormat="1" x14ac:dyDescent="0.2">
      <c r="A1392" s="94"/>
      <c r="B1392" s="111"/>
      <c r="C1392" s="111"/>
      <c r="D1392" s="129"/>
      <c r="E1392" s="128"/>
      <c r="F1392" s="1"/>
      <c r="G1392" s="1085"/>
      <c r="H1392" s="1089" t="s">
        <v>345</v>
      </c>
      <c r="I1392" s="179">
        <f>SUM(I1391)</f>
        <v>65030735.219999999</v>
      </c>
      <c r="J1392" s="179"/>
      <c r="K1392" s="505">
        <f t="shared" si="86"/>
        <v>65030735.219999999</v>
      </c>
      <c r="L1392" s="27"/>
      <c r="M1392" s="1223"/>
      <c r="N1392" s="61"/>
      <c r="O1392" s="61"/>
    </row>
    <row r="1393" spans="1:15" s="642" customFormat="1" x14ac:dyDescent="0.2">
      <c r="A1393" s="94"/>
      <c r="B1393" s="111"/>
      <c r="C1393" s="111"/>
      <c r="D1393" s="129"/>
      <c r="E1393" s="128"/>
      <c r="F1393" s="1"/>
      <c r="G1393" s="1085"/>
      <c r="H1393" s="1090"/>
      <c r="I1393" s="481"/>
      <c r="J1393" s="481"/>
      <c r="K1393" s="1091"/>
      <c r="L1393" s="27"/>
      <c r="M1393" s="1223"/>
      <c r="N1393" s="61"/>
      <c r="O1393" s="61"/>
    </row>
    <row r="1394" spans="1:15" s="642" customFormat="1" ht="33.75" x14ac:dyDescent="0.2">
      <c r="A1394" s="94"/>
      <c r="B1394" s="111"/>
      <c r="C1394" s="111"/>
      <c r="D1394" s="129"/>
      <c r="E1394" s="128"/>
      <c r="F1394" s="1"/>
      <c r="G1394" s="1085"/>
      <c r="H1394" s="1257" t="s">
        <v>867</v>
      </c>
      <c r="I1394" s="1086"/>
      <c r="J1394" s="1086"/>
      <c r="K1394" s="1087"/>
      <c r="L1394" s="27"/>
      <c r="M1394" s="1223"/>
      <c r="N1394" s="61"/>
      <c r="O1394" s="61"/>
    </row>
    <row r="1395" spans="1:15" s="642" customFormat="1" x14ac:dyDescent="0.2">
      <c r="A1395" s="94"/>
      <c r="B1395" s="111"/>
      <c r="C1395" s="111"/>
      <c r="D1395" s="129"/>
      <c r="E1395" s="128"/>
      <c r="F1395" s="95">
        <v>265</v>
      </c>
      <c r="G1395" s="1088" t="s">
        <v>332</v>
      </c>
      <c r="H1395" s="174" t="s">
        <v>20</v>
      </c>
      <c r="I1395" s="241">
        <v>7800000</v>
      </c>
      <c r="J1395" s="241"/>
      <c r="K1395" s="241">
        <f t="shared" ref="K1395:K1397" si="87">SUM(I1395:J1395)</f>
        <v>7800000</v>
      </c>
      <c r="L1395" s="27"/>
      <c r="M1395" s="1223"/>
      <c r="N1395" s="61"/>
      <c r="O1395" s="61"/>
    </row>
    <row r="1396" spans="1:15" s="642" customFormat="1" x14ac:dyDescent="0.2">
      <c r="A1396" s="94"/>
      <c r="B1396" s="111"/>
      <c r="C1396" s="111"/>
      <c r="D1396" s="129"/>
      <c r="E1396" s="128"/>
      <c r="F1396" s="1"/>
      <c r="G1396" s="1092" t="s">
        <v>39</v>
      </c>
      <c r="H1396" s="174" t="s">
        <v>40</v>
      </c>
      <c r="I1396" s="241">
        <f>SUM(I1395:I1395)</f>
        <v>7800000</v>
      </c>
      <c r="J1396" s="241"/>
      <c r="K1396" s="241">
        <f t="shared" si="87"/>
        <v>7800000</v>
      </c>
      <c r="L1396" s="27"/>
      <c r="M1396" s="1223"/>
      <c r="N1396" s="61"/>
      <c r="O1396" s="61"/>
    </row>
    <row r="1397" spans="1:15" s="642" customFormat="1" x14ac:dyDescent="0.2">
      <c r="A1397" s="94"/>
      <c r="B1397" s="111"/>
      <c r="C1397" s="111"/>
      <c r="D1397" s="129"/>
      <c r="E1397" s="128"/>
      <c r="F1397" s="1"/>
      <c r="G1397" s="1085"/>
      <c r="H1397" s="1089" t="s">
        <v>346</v>
      </c>
      <c r="I1397" s="179">
        <f>SUM(I1396)</f>
        <v>7800000</v>
      </c>
      <c r="J1397" s="179"/>
      <c r="K1397" s="505">
        <f t="shared" si="87"/>
        <v>7800000</v>
      </c>
      <c r="L1397" s="27"/>
      <c r="M1397" s="1223"/>
      <c r="N1397" s="61"/>
      <c r="O1397" s="61"/>
    </row>
    <row r="1398" spans="1:15" x14ac:dyDescent="0.2">
      <c r="A1398" s="106"/>
      <c r="B1398" s="113"/>
      <c r="C1398" s="113"/>
      <c r="D1398" s="425"/>
      <c r="E1398" s="213"/>
      <c r="F1398" s="46"/>
      <c r="G1398" s="431"/>
      <c r="H1398" s="432"/>
      <c r="I1398" s="69"/>
      <c r="J1398" s="69"/>
      <c r="K1398" s="433"/>
    </row>
    <row r="1399" spans="1:15" s="642" customFormat="1" ht="22.5" x14ac:dyDescent="0.2">
      <c r="A1399" s="94"/>
      <c r="B1399" s="111"/>
      <c r="C1399" s="119"/>
      <c r="D1399" s="99"/>
      <c r="E1399" s="176"/>
      <c r="F1399" s="1"/>
      <c r="G1399" s="38"/>
      <c r="H1399" s="1263" t="s">
        <v>868</v>
      </c>
      <c r="I1399" s="1264"/>
      <c r="J1399" s="1265"/>
      <c r="K1399" s="1266"/>
      <c r="L1399" s="27"/>
      <c r="M1399" s="1223"/>
      <c r="N1399" s="61"/>
      <c r="O1399" s="61"/>
    </row>
    <row r="1400" spans="1:15" s="642" customFormat="1" x14ac:dyDescent="0.2">
      <c r="A1400" s="583"/>
      <c r="B1400" s="781"/>
      <c r="C1400" s="121"/>
      <c r="D1400" s="101"/>
      <c r="E1400" s="177"/>
      <c r="F1400" s="124">
        <v>266</v>
      </c>
      <c r="G1400" s="154" t="s">
        <v>332</v>
      </c>
      <c r="H1400" s="90" t="s">
        <v>20</v>
      </c>
      <c r="I1400" s="241">
        <v>1000</v>
      </c>
      <c r="J1400" s="161"/>
      <c r="K1400" s="187">
        <f>SUM(I1400:J1400)</f>
        <v>1000</v>
      </c>
      <c r="L1400" s="27"/>
      <c r="M1400" s="1223"/>
      <c r="N1400" s="61"/>
      <c r="O1400" s="61"/>
    </row>
    <row r="1401" spans="1:15" s="642" customFormat="1" x14ac:dyDescent="0.2">
      <c r="A1401" s="919"/>
      <c r="B1401" s="787"/>
      <c r="C1401" s="120"/>
      <c r="D1401" s="100"/>
      <c r="E1401" s="246"/>
      <c r="F1401" s="41"/>
      <c r="G1401" s="45" t="s">
        <v>39</v>
      </c>
      <c r="H1401" s="90" t="s">
        <v>40</v>
      </c>
      <c r="I1401" s="241">
        <f>SUM(I1400:I1400)</f>
        <v>1000</v>
      </c>
      <c r="J1401" s="161"/>
      <c r="K1401" s="187">
        <f>SUM(I1401:J1401)</f>
        <v>1000</v>
      </c>
      <c r="L1401" s="27"/>
      <c r="M1401" s="1223"/>
      <c r="N1401" s="61"/>
      <c r="O1401" s="61"/>
    </row>
    <row r="1402" spans="1:15" s="642" customFormat="1" x14ac:dyDescent="0.2">
      <c r="A1402" s="583"/>
      <c r="B1402" s="781"/>
      <c r="C1402" s="121"/>
      <c r="D1402" s="101"/>
      <c r="E1402" s="177"/>
      <c r="F1402" s="42"/>
      <c r="G1402" s="43"/>
      <c r="H1402" s="97" t="s">
        <v>347</v>
      </c>
      <c r="I1402" s="179">
        <f>SUM(I1401)</f>
        <v>1000</v>
      </c>
      <c r="J1402" s="162"/>
      <c r="K1402" s="162">
        <f>SUM(K1401)</f>
        <v>1000</v>
      </c>
      <c r="L1402" s="27"/>
      <c r="M1402" s="1223"/>
      <c r="N1402" s="61"/>
      <c r="O1402" s="61"/>
    </row>
    <row r="1403" spans="1:15" x14ac:dyDescent="0.2">
      <c r="A1403" s="106"/>
      <c r="B1403" s="113"/>
      <c r="C1403" s="122"/>
      <c r="D1403" s="103"/>
      <c r="E1403" s="250"/>
      <c r="F1403" s="46"/>
      <c r="G1403" s="64"/>
      <c r="H1403" s="55"/>
      <c r="I1403" s="69"/>
      <c r="J1403" s="63"/>
      <c r="K1403" s="203"/>
    </row>
    <row r="1404" spans="1:15" ht="22.5" x14ac:dyDescent="0.2">
      <c r="A1404" s="106"/>
      <c r="B1404" s="113"/>
      <c r="C1404" s="122"/>
      <c r="D1404" s="103"/>
      <c r="E1404" s="250"/>
      <c r="F1404" s="1"/>
      <c r="G1404" s="38"/>
      <c r="H1404" s="1111" t="s">
        <v>869</v>
      </c>
      <c r="I1404" s="1110"/>
      <c r="J1404" s="617"/>
      <c r="K1404" s="618"/>
      <c r="M1404" s="1226"/>
    </row>
    <row r="1405" spans="1:15" x14ac:dyDescent="0.2">
      <c r="A1405" s="107"/>
      <c r="B1405" s="114"/>
      <c r="C1405" s="123"/>
      <c r="D1405" s="104"/>
      <c r="E1405" s="253"/>
      <c r="F1405" s="124">
        <v>267</v>
      </c>
      <c r="G1405" s="154" t="s">
        <v>332</v>
      </c>
      <c r="H1405" s="90" t="s">
        <v>20</v>
      </c>
      <c r="I1405" s="241">
        <v>1000</v>
      </c>
      <c r="J1405" s="161"/>
      <c r="K1405" s="187">
        <f>SUM(I1405:J1405)</f>
        <v>1000</v>
      </c>
    </row>
    <row r="1406" spans="1:15" x14ac:dyDescent="0.2">
      <c r="A1406" s="106"/>
      <c r="B1406" s="113"/>
      <c r="C1406" s="122"/>
      <c r="D1406" s="103"/>
      <c r="E1406" s="250"/>
      <c r="F1406" s="1"/>
      <c r="G1406" s="38" t="s">
        <v>39</v>
      </c>
      <c r="H1406" s="90" t="s">
        <v>40</v>
      </c>
      <c r="I1406" s="241">
        <f>SUM(I1405:I1405)</f>
        <v>1000</v>
      </c>
      <c r="J1406" s="161"/>
      <c r="K1406" s="187">
        <f>SUM(I1406:J1406)</f>
        <v>1000</v>
      </c>
    </row>
    <row r="1407" spans="1:15" x14ac:dyDescent="0.2">
      <c r="A1407" s="107"/>
      <c r="B1407" s="114"/>
      <c r="C1407" s="123"/>
      <c r="D1407" s="104"/>
      <c r="E1407" s="253"/>
      <c r="F1407" s="42"/>
      <c r="G1407" s="43"/>
      <c r="H1407" s="97" t="s">
        <v>348</v>
      </c>
      <c r="I1407" s="179">
        <f>SUM(I1406)</f>
        <v>1000</v>
      </c>
      <c r="J1407" s="162"/>
      <c r="K1407" s="162">
        <f>SUM(K1406)</f>
        <v>1000</v>
      </c>
    </row>
    <row r="1408" spans="1:15" x14ac:dyDescent="0.2">
      <c r="A1408" s="106"/>
      <c r="B1408" s="113"/>
      <c r="C1408" s="122"/>
      <c r="D1408" s="103"/>
      <c r="E1408" s="250"/>
      <c r="F1408" s="46"/>
      <c r="G1408" s="64"/>
      <c r="H1408" s="55"/>
      <c r="I1408" s="69"/>
      <c r="J1408" s="63"/>
      <c r="K1408" s="203"/>
    </row>
    <row r="1409" spans="1:15" s="642" customFormat="1" ht="22.5" x14ac:dyDescent="0.2">
      <c r="A1409" s="94"/>
      <c r="B1409" s="111"/>
      <c r="C1409" s="119"/>
      <c r="D1409" s="99"/>
      <c r="E1409" s="176"/>
      <c r="F1409" s="1"/>
      <c r="G1409" s="38"/>
      <c r="H1409" s="166" t="s">
        <v>870</v>
      </c>
      <c r="I1409" s="289"/>
      <c r="J1409" s="156"/>
      <c r="K1409" s="157"/>
      <c r="L1409" s="27"/>
      <c r="M1409" s="1226"/>
      <c r="N1409" s="61"/>
      <c r="O1409" s="61"/>
    </row>
    <row r="1410" spans="1:15" s="642" customFormat="1" x14ac:dyDescent="0.2">
      <c r="A1410" s="583"/>
      <c r="B1410" s="781"/>
      <c r="C1410" s="121"/>
      <c r="D1410" s="101"/>
      <c r="E1410" s="177"/>
      <c r="F1410" s="124">
        <v>268</v>
      </c>
      <c r="G1410" s="154" t="s">
        <v>332</v>
      </c>
      <c r="H1410" s="90" t="s">
        <v>20</v>
      </c>
      <c r="I1410" s="241">
        <v>2000000</v>
      </c>
      <c r="J1410" s="161"/>
      <c r="K1410" s="187">
        <f>SUM(I1410:J1410)</f>
        <v>2000000</v>
      </c>
      <c r="L1410" s="27"/>
      <c r="M1410" s="1223"/>
      <c r="N1410" s="61"/>
      <c r="O1410" s="61"/>
    </row>
    <row r="1411" spans="1:15" s="642" customFormat="1" x14ac:dyDescent="0.2">
      <c r="A1411" s="94"/>
      <c r="B1411" s="111"/>
      <c r="C1411" s="119"/>
      <c r="D1411" s="99"/>
      <c r="E1411" s="176"/>
      <c r="F1411" s="1"/>
      <c r="G1411" s="38" t="s">
        <v>39</v>
      </c>
      <c r="H1411" s="90" t="s">
        <v>40</v>
      </c>
      <c r="I1411" s="241">
        <f>SUM(I1410)</f>
        <v>2000000</v>
      </c>
      <c r="J1411" s="161"/>
      <c r="K1411" s="187">
        <f>SUM(I1411:J1411)</f>
        <v>2000000</v>
      </c>
      <c r="L1411" s="27"/>
      <c r="M1411" s="1223"/>
      <c r="N1411" s="61"/>
      <c r="O1411" s="61"/>
    </row>
    <row r="1412" spans="1:15" s="642" customFormat="1" x14ac:dyDescent="0.2">
      <c r="A1412" s="583"/>
      <c r="B1412" s="781"/>
      <c r="C1412" s="121"/>
      <c r="D1412" s="101"/>
      <c r="E1412" s="177"/>
      <c r="F1412" s="42"/>
      <c r="G1412" s="43"/>
      <c r="H1412" s="97" t="s">
        <v>352</v>
      </c>
      <c r="I1412" s="179">
        <f>SUM(I1411)</f>
        <v>2000000</v>
      </c>
      <c r="J1412" s="162"/>
      <c r="K1412" s="162">
        <f>SUM(K1411)</f>
        <v>2000000</v>
      </c>
      <c r="L1412" s="27"/>
      <c r="M1412" s="1223"/>
      <c r="N1412" s="61"/>
      <c r="O1412" s="61"/>
    </row>
    <row r="1413" spans="1:15" s="642" customFormat="1" x14ac:dyDescent="0.2">
      <c r="A1413" s="94"/>
      <c r="B1413" s="111"/>
      <c r="C1413" s="119"/>
      <c r="D1413" s="99"/>
      <c r="E1413" s="176"/>
      <c r="F1413" s="1"/>
      <c r="G1413" s="38"/>
      <c r="H1413" s="29"/>
      <c r="I1413" s="481"/>
      <c r="J1413" s="60"/>
      <c r="K1413" s="200"/>
      <c r="L1413" s="27"/>
      <c r="M1413" s="1223"/>
      <c r="N1413" s="61"/>
      <c r="O1413" s="61"/>
    </row>
    <row r="1414" spans="1:15" s="642" customFormat="1" ht="22.5" x14ac:dyDescent="0.2">
      <c r="A1414" s="94"/>
      <c r="B1414" s="111"/>
      <c r="C1414" s="119"/>
      <c r="D1414" s="99"/>
      <c r="E1414" s="176"/>
      <c r="F1414" s="1"/>
      <c r="G1414" s="38"/>
      <c r="H1414" s="166" t="s">
        <v>871</v>
      </c>
      <c r="I1414" s="289"/>
      <c r="J1414" s="156"/>
      <c r="K1414" s="157"/>
      <c r="L1414" s="27"/>
      <c r="M1414" s="1223"/>
      <c r="N1414" s="61"/>
      <c r="O1414" s="61"/>
    </row>
    <row r="1415" spans="1:15" s="642" customFormat="1" x14ac:dyDescent="0.2">
      <c r="A1415" s="94"/>
      <c r="B1415" s="111"/>
      <c r="C1415" s="119"/>
      <c r="D1415" s="99"/>
      <c r="E1415" s="176"/>
      <c r="F1415" s="95">
        <v>269</v>
      </c>
      <c r="G1415" s="154" t="s">
        <v>51</v>
      </c>
      <c r="H1415" s="285" t="s">
        <v>840</v>
      </c>
      <c r="I1415" s="241">
        <v>1000</v>
      </c>
      <c r="J1415" s="187"/>
      <c r="K1415" s="187">
        <f>SUM(I1415:J1415)</f>
        <v>1000</v>
      </c>
      <c r="L1415" s="27"/>
      <c r="M1415" s="1223"/>
      <c r="N1415" s="61"/>
      <c r="O1415" s="61"/>
    </row>
    <row r="1416" spans="1:15" s="642" customFormat="1" x14ac:dyDescent="0.2">
      <c r="A1416" s="94"/>
      <c r="B1416" s="111"/>
      <c r="C1416" s="119"/>
      <c r="D1416" s="99"/>
      <c r="E1416" s="176"/>
      <c r="F1416" s="124">
        <v>270</v>
      </c>
      <c r="G1416" s="154" t="s">
        <v>332</v>
      </c>
      <c r="H1416" s="90" t="s">
        <v>20</v>
      </c>
      <c r="I1416" s="241">
        <v>1000</v>
      </c>
      <c r="J1416" s="161"/>
      <c r="K1416" s="187">
        <f>SUM(I1416:J1416)</f>
        <v>1000</v>
      </c>
      <c r="L1416" s="27"/>
      <c r="M1416" s="1223"/>
      <c r="N1416" s="61"/>
      <c r="O1416" s="61"/>
    </row>
    <row r="1417" spans="1:15" s="642" customFormat="1" x14ac:dyDescent="0.2">
      <c r="A1417" s="94"/>
      <c r="B1417" s="111"/>
      <c r="C1417" s="119"/>
      <c r="D1417" s="99"/>
      <c r="E1417" s="176"/>
      <c r="F1417" s="1"/>
      <c r="G1417" s="38" t="s">
        <v>39</v>
      </c>
      <c r="H1417" s="90" t="s">
        <v>40</v>
      </c>
      <c r="I1417" s="241">
        <v>1000</v>
      </c>
      <c r="J1417" s="161"/>
      <c r="K1417" s="187">
        <f>SUM(I1417:J1417)</f>
        <v>1000</v>
      </c>
      <c r="L1417" s="27"/>
      <c r="M1417" s="1223"/>
      <c r="N1417" s="61"/>
      <c r="O1417" s="61"/>
    </row>
    <row r="1418" spans="1:15" s="642" customFormat="1" x14ac:dyDescent="0.2">
      <c r="A1418" s="94"/>
      <c r="B1418" s="111"/>
      <c r="C1418" s="119"/>
      <c r="D1418" s="99"/>
      <c r="E1418" s="176"/>
      <c r="F1418" s="1"/>
      <c r="G1418" s="38" t="s">
        <v>157</v>
      </c>
      <c r="H1418" s="90" t="s">
        <v>354</v>
      </c>
      <c r="I1418" s="241">
        <v>1000</v>
      </c>
      <c r="J1418" s="161"/>
      <c r="K1418" s="187">
        <f>SUM(I1418:J1418)</f>
        <v>1000</v>
      </c>
      <c r="L1418" s="27"/>
      <c r="M1418" s="1223"/>
      <c r="N1418" s="61"/>
      <c r="O1418" s="61"/>
    </row>
    <row r="1419" spans="1:15" s="642" customFormat="1" x14ac:dyDescent="0.2">
      <c r="A1419" s="94"/>
      <c r="B1419" s="111"/>
      <c r="C1419" s="119"/>
      <c r="D1419" s="99"/>
      <c r="E1419" s="176"/>
      <c r="F1419" s="42"/>
      <c r="G1419" s="43"/>
      <c r="H1419" s="97" t="s">
        <v>349</v>
      </c>
      <c r="I1419" s="179">
        <f>SUM(I1417:I1418)</f>
        <v>2000</v>
      </c>
      <c r="J1419" s="162"/>
      <c r="K1419" s="162">
        <f>SUM(I1419:J1419)</f>
        <v>2000</v>
      </c>
      <c r="L1419" s="27"/>
      <c r="M1419" s="1223"/>
      <c r="N1419" s="61"/>
      <c r="O1419" s="61"/>
    </row>
    <row r="1420" spans="1:15" s="642" customFormat="1" x14ac:dyDescent="0.2">
      <c r="A1420" s="94"/>
      <c r="B1420" s="111"/>
      <c r="C1420" s="119"/>
      <c r="D1420" s="99"/>
      <c r="E1420" s="176"/>
      <c r="F1420" s="1"/>
      <c r="G1420" s="38"/>
      <c r="H1420" s="44"/>
      <c r="I1420" s="481"/>
      <c r="J1420" s="47"/>
      <c r="K1420" s="200"/>
      <c r="L1420" s="27"/>
      <c r="M1420" s="1223"/>
      <c r="N1420" s="61"/>
      <c r="O1420" s="61"/>
    </row>
    <row r="1421" spans="1:15" s="642" customFormat="1" ht="22.5" x14ac:dyDescent="0.2">
      <c r="A1421" s="94"/>
      <c r="B1421" s="111"/>
      <c r="C1421" s="119"/>
      <c r="D1421" s="99"/>
      <c r="E1421" s="176"/>
      <c r="F1421" s="1"/>
      <c r="G1421" s="38"/>
      <c r="H1421" s="166" t="s">
        <v>872</v>
      </c>
      <c r="I1421" s="289"/>
      <c r="J1421" s="156"/>
      <c r="K1421" s="157"/>
      <c r="L1421" s="27"/>
      <c r="M1421" s="1223"/>
      <c r="N1421" s="61"/>
      <c r="O1421" s="61"/>
    </row>
    <row r="1422" spans="1:15" s="642" customFormat="1" x14ac:dyDescent="0.2">
      <c r="A1422" s="583"/>
      <c r="B1422" s="781"/>
      <c r="C1422" s="121"/>
      <c r="D1422" s="101"/>
      <c r="E1422" s="177"/>
      <c r="F1422" s="124">
        <v>271</v>
      </c>
      <c r="G1422" s="154" t="s">
        <v>332</v>
      </c>
      <c r="H1422" s="90" t="s">
        <v>20</v>
      </c>
      <c r="I1422" s="241">
        <v>500000</v>
      </c>
      <c r="J1422" s="161"/>
      <c r="K1422" s="187">
        <f>SUM(I1422:J1422)</f>
        <v>500000</v>
      </c>
      <c r="L1422" s="27"/>
      <c r="M1422" s="1223"/>
      <c r="N1422" s="61"/>
      <c r="O1422" s="61"/>
    </row>
    <row r="1423" spans="1:15" s="642" customFormat="1" x14ac:dyDescent="0.2">
      <c r="A1423" s="94"/>
      <c r="B1423" s="111"/>
      <c r="C1423" s="119"/>
      <c r="D1423" s="99"/>
      <c r="E1423" s="176"/>
      <c r="F1423" s="1"/>
      <c r="G1423" s="38" t="s">
        <v>39</v>
      </c>
      <c r="H1423" s="90" t="s">
        <v>40</v>
      </c>
      <c r="I1423" s="241">
        <f>SUM(I1422)</f>
        <v>500000</v>
      </c>
      <c r="J1423" s="161"/>
      <c r="K1423" s="187">
        <f>SUM(I1423:J1423)</f>
        <v>500000</v>
      </c>
      <c r="L1423" s="27"/>
      <c r="M1423" s="1223"/>
      <c r="N1423" s="61"/>
      <c r="O1423" s="61"/>
    </row>
    <row r="1424" spans="1:15" s="642" customFormat="1" x14ac:dyDescent="0.2">
      <c r="A1424" s="583"/>
      <c r="B1424" s="781"/>
      <c r="C1424" s="121"/>
      <c r="D1424" s="101"/>
      <c r="E1424" s="177"/>
      <c r="F1424" s="42"/>
      <c r="G1424" s="43"/>
      <c r="H1424" s="97" t="s">
        <v>353</v>
      </c>
      <c r="I1424" s="179">
        <f>SUM(I1423)</f>
        <v>500000</v>
      </c>
      <c r="J1424" s="162"/>
      <c r="K1424" s="162">
        <f>SUM(K1423)</f>
        <v>500000</v>
      </c>
      <c r="L1424" s="27"/>
      <c r="M1424" s="1223"/>
      <c r="N1424" s="61"/>
      <c r="O1424" s="61"/>
    </row>
    <row r="1425" spans="1:15" s="642" customFormat="1" x14ac:dyDescent="0.2">
      <c r="A1425" s="94"/>
      <c r="B1425" s="111"/>
      <c r="C1425" s="119"/>
      <c r="D1425" s="99"/>
      <c r="E1425" s="176"/>
      <c r="F1425" s="1"/>
      <c r="G1425" s="38"/>
      <c r="H1425" s="44"/>
      <c r="I1425" s="481"/>
      <c r="J1425" s="47"/>
      <c r="K1425" s="200"/>
      <c r="L1425" s="27"/>
      <c r="M1425" s="1223"/>
      <c r="N1425" s="61"/>
      <c r="O1425" s="61"/>
    </row>
    <row r="1426" spans="1:15" s="642" customFormat="1" ht="22.5" x14ac:dyDescent="0.2">
      <c r="A1426" s="94"/>
      <c r="B1426" s="111"/>
      <c r="C1426" s="119"/>
      <c r="D1426" s="99"/>
      <c r="E1426" s="176"/>
      <c r="F1426" s="1"/>
      <c r="G1426" s="38"/>
      <c r="H1426" s="166" t="s">
        <v>873</v>
      </c>
      <c r="I1426" s="289"/>
      <c r="J1426" s="156"/>
      <c r="K1426" s="157"/>
      <c r="L1426" s="27"/>
      <c r="M1426" s="1223"/>
      <c r="N1426" s="61"/>
      <c r="O1426" s="61"/>
    </row>
    <row r="1427" spans="1:15" s="642" customFormat="1" x14ac:dyDescent="0.2">
      <c r="A1427" s="583"/>
      <c r="B1427" s="781"/>
      <c r="C1427" s="121"/>
      <c r="D1427" s="101"/>
      <c r="E1427" s="177"/>
      <c r="F1427" s="124">
        <v>272</v>
      </c>
      <c r="G1427" s="154" t="s">
        <v>332</v>
      </c>
      <c r="H1427" s="90" t="s">
        <v>20</v>
      </c>
      <c r="I1427" s="241">
        <v>450000</v>
      </c>
      <c r="J1427" s="161"/>
      <c r="K1427" s="187">
        <f>SUM(I1427:J1427)</f>
        <v>450000</v>
      </c>
      <c r="L1427" s="27"/>
      <c r="M1427" s="1223"/>
      <c r="N1427" s="61"/>
      <c r="O1427" s="61"/>
    </row>
    <row r="1428" spans="1:15" s="642" customFormat="1" x14ac:dyDescent="0.2">
      <c r="A1428" s="94"/>
      <c r="B1428" s="111"/>
      <c r="C1428" s="119"/>
      <c r="D1428" s="99"/>
      <c r="E1428" s="176"/>
      <c r="F1428" s="1"/>
      <c r="G1428" s="38" t="s">
        <v>39</v>
      </c>
      <c r="H1428" s="90" t="s">
        <v>40</v>
      </c>
      <c r="I1428" s="241">
        <f>SUM(I1427)</f>
        <v>450000</v>
      </c>
      <c r="J1428" s="161"/>
      <c r="K1428" s="187">
        <f>SUM(I1428:J1428)</f>
        <v>450000</v>
      </c>
      <c r="L1428" s="27"/>
      <c r="M1428" s="1223"/>
      <c r="N1428" s="61"/>
      <c r="O1428" s="61"/>
    </row>
    <row r="1429" spans="1:15" s="642" customFormat="1" x14ac:dyDescent="0.2">
      <c r="A1429" s="583"/>
      <c r="B1429" s="781"/>
      <c r="C1429" s="121"/>
      <c r="D1429" s="101"/>
      <c r="E1429" s="177"/>
      <c r="F1429" s="42"/>
      <c r="G1429" s="43"/>
      <c r="H1429" s="97" t="s">
        <v>684</v>
      </c>
      <c r="I1429" s="179">
        <f>SUM(I1428)</f>
        <v>450000</v>
      </c>
      <c r="J1429" s="162"/>
      <c r="K1429" s="162">
        <f>SUM(K1428)</f>
        <v>450000</v>
      </c>
      <c r="L1429" s="27"/>
      <c r="M1429" s="1223"/>
      <c r="N1429" s="61"/>
      <c r="O1429" s="61"/>
    </row>
    <row r="1430" spans="1:15" s="642" customFormat="1" x14ac:dyDescent="0.2">
      <c r="A1430" s="94"/>
      <c r="B1430" s="111"/>
      <c r="C1430" s="119"/>
      <c r="D1430" s="99"/>
      <c r="E1430" s="176"/>
      <c r="F1430" s="1"/>
      <c r="G1430" s="1050"/>
      <c r="H1430" s="1050"/>
      <c r="I1430" s="481"/>
      <c r="J1430" s="47"/>
      <c r="K1430" s="200"/>
      <c r="L1430" s="27"/>
      <c r="M1430" s="1223"/>
      <c r="N1430" s="61"/>
      <c r="O1430" s="61"/>
    </row>
    <row r="1431" spans="1:15" s="642" customFormat="1" ht="22.5" x14ac:dyDescent="0.2">
      <c r="A1431" s="94"/>
      <c r="B1431" s="111"/>
      <c r="C1431" s="119"/>
      <c r="D1431" s="99"/>
      <c r="E1431" s="176"/>
      <c r="F1431" s="1"/>
      <c r="G1431" s="38"/>
      <c r="H1431" s="1093" t="s">
        <v>874</v>
      </c>
      <c r="I1431" s="289"/>
      <c r="J1431" s="156"/>
      <c r="K1431" s="157"/>
      <c r="L1431" s="27"/>
      <c r="M1431" s="1223"/>
      <c r="N1431" s="61"/>
      <c r="O1431" s="61"/>
    </row>
    <row r="1432" spans="1:15" s="642" customFormat="1" x14ac:dyDescent="0.2">
      <c r="A1432" s="583"/>
      <c r="B1432" s="781"/>
      <c r="C1432" s="121"/>
      <c r="D1432" s="101"/>
      <c r="E1432" s="177"/>
      <c r="F1432" s="124">
        <v>273</v>
      </c>
      <c r="G1432" s="154" t="s">
        <v>332</v>
      </c>
      <c r="H1432" s="90" t="s">
        <v>20</v>
      </c>
      <c r="I1432" s="241">
        <v>300000</v>
      </c>
      <c r="J1432" s="160"/>
      <c r="K1432" s="187">
        <f>SUM(I1432:J1432)</f>
        <v>300000</v>
      </c>
      <c r="L1432" s="27"/>
      <c r="M1432" s="1223"/>
      <c r="N1432" s="61"/>
      <c r="O1432" s="61"/>
    </row>
    <row r="1433" spans="1:15" s="642" customFormat="1" x14ac:dyDescent="0.2">
      <c r="A1433" s="94"/>
      <c r="B1433" s="111"/>
      <c r="C1433" s="119"/>
      <c r="D1433" s="99"/>
      <c r="E1433" s="176"/>
      <c r="F1433" s="1"/>
      <c r="G1433" s="38" t="s">
        <v>39</v>
      </c>
      <c r="H1433" s="90" t="s">
        <v>40</v>
      </c>
      <c r="I1433" s="241">
        <f>SUM(I1432)</f>
        <v>300000</v>
      </c>
      <c r="J1433" s="160"/>
      <c r="K1433" s="187">
        <f>SUM(I1433:J1433)</f>
        <v>300000</v>
      </c>
      <c r="L1433" s="27"/>
      <c r="M1433" s="1223"/>
      <c r="N1433" s="61"/>
      <c r="O1433" s="61"/>
    </row>
    <row r="1434" spans="1:15" s="642" customFormat="1" x14ac:dyDescent="0.2">
      <c r="A1434" s="583"/>
      <c r="B1434" s="781"/>
      <c r="C1434" s="121"/>
      <c r="D1434" s="101"/>
      <c r="E1434" s="177"/>
      <c r="F1434" s="42"/>
      <c r="G1434" s="43"/>
      <c r="H1434" s="97" t="s">
        <v>685</v>
      </c>
      <c r="I1434" s="179">
        <f>SUM(I1433)</f>
        <v>300000</v>
      </c>
      <c r="J1434" s="162"/>
      <c r="K1434" s="162">
        <f>SUM(K1433)</f>
        <v>300000</v>
      </c>
      <c r="L1434" s="27"/>
      <c r="M1434" s="1223"/>
      <c r="N1434" s="61"/>
      <c r="O1434" s="61"/>
    </row>
    <row r="1435" spans="1:15" s="642" customFormat="1" x14ac:dyDescent="0.2">
      <c r="A1435" s="94"/>
      <c r="B1435" s="111"/>
      <c r="C1435" s="119"/>
      <c r="D1435" s="99"/>
      <c r="E1435" s="176"/>
      <c r="F1435" s="1"/>
      <c r="G1435" s="38"/>
      <c r="H1435" s="44"/>
      <c r="I1435" s="481"/>
      <c r="J1435" s="47"/>
      <c r="K1435" s="200"/>
      <c r="L1435" s="27"/>
      <c r="M1435" s="1223"/>
      <c r="N1435" s="61"/>
      <c r="O1435" s="61"/>
    </row>
    <row r="1436" spans="1:15" s="642" customFormat="1" ht="22.5" x14ac:dyDescent="0.2">
      <c r="A1436" s="94"/>
      <c r="B1436" s="111"/>
      <c r="C1436" s="119"/>
      <c r="D1436" s="99"/>
      <c r="E1436" s="176"/>
      <c r="F1436" s="1"/>
      <c r="G1436" s="38"/>
      <c r="H1436" s="1093" t="s">
        <v>875</v>
      </c>
      <c r="I1436" s="289"/>
      <c r="J1436" s="156"/>
      <c r="K1436" s="157"/>
      <c r="L1436" s="27"/>
      <c r="M1436" s="1223"/>
      <c r="N1436" s="61"/>
      <c r="O1436" s="61"/>
    </row>
    <row r="1437" spans="1:15" s="642" customFormat="1" x14ac:dyDescent="0.2">
      <c r="A1437" s="583"/>
      <c r="B1437" s="781"/>
      <c r="C1437" s="121"/>
      <c r="D1437" s="101"/>
      <c r="E1437" s="177"/>
      <c r="F1437" s="124">
        <v>274</v>
      </c>
      <c r="G1437" s="154" t="s">
        <v>332</v>
      </c>
      <c r="H1437" s="90" t="s">
        <v>20</v>
      </c>
      <c r="I1437" s="241">
        <v>1000000</v>
      </c>
      <c r="J1437" s="160"/>
      <c r="K1437" s="187">
        <f>SUM(I1437:J1437)</f>
        <v>1000000</v>
      </c>
      <c r="L1437" s="27"/>
      <c r="M1437" s="1223"/>
      <c r="N1437" s="61"/>
      <c r="O1437" s="61"/>
    </row>
    <row r="1438" spans="1:15" s="642" customFormat="1" x14ac:dyDescent="0.2">
      <c r="A1438" s="94"/>
      <c r="B1438" s="111"/>
      <c r="C1438" s="119"/>
      <c r="D1438" s="99"/>
      <c r="E1438" s="176"/>
      <c r="F1438" s="1"/>
      <c r="G1438" s="38" t="s">
        <v>39</v>
      </c>
      <c r="H1438" s="90" t="s">
        <v>40</v>
      </c>
      <c r="I1438" s="241">
        <f>SUM(I1437-I1439)</f>
        <v>150000.33999999997</v>
      </c>
      <c r="J1438" s="160"/>
      <c r="K1438" s="187">
        <f>SUM(I1438:J1438)</f>
        <v>150000.33999999997</v>
      </c>
      <c r="L1438" s="27"/>
      <c r="M1438" s="1223"/>
      <c r="N1438" s="61"/>
      <c r="O1438" s="61"/>
    </row>
    <row r="1439" spans="1:15" s="642" customFormat="1" x14ac:dyDescent="0.2">
      <c r="A1439" s="94"/>
      <c r="B1439" s="111"/>
      <c r="C1439" s="119"/>
      <c r="D1439" s="99"/>
      <c r="E1439" s="176"/>
      <c r="F1439" s="1"/>
      <c r="G1439" s="38" t="s">
        <v>157</v>
      </c>
      <c r="H1439" s="90" t="s">
        <v>517</v>
      </c>
      <c r="I1439" s="241">
        <v>849999.66</v>
      </c>
      <c r="J1439" s="160"/>
      <c r="K1439" s="187">
        <f>SUM(I1439:J1439)</f>
        <v>849999.66</v>
      </c>
      <c r="L1439" s="27"/>
      <c r="M1439" s="1223"/>
      <c r="N1439" s="61"/>
      <c r="O1439" s="61"/>
    </row>
    <row r="1440" spans="1:15" s="642" customFormat="1" x14ac:dyDescent="0.2">
      <c r="A1440" s="583"/>
      <c r="B1440" s="781"/>
      <c r="C1440" s="121"/>
      <c r="D1440" s="101"/>
      <c r="E1440" s="177"/>
      <c r="F1440" s="42"/>
      <c r="G1440" s="43"/>
      <c r="H1440" s="97" t="s">
        <v>686</v>
      </c>
      <c r="I1440" s="179">
        <f>SUM(I1438:I1439)</f>
        <v>1000000</v>
      </c>
      <c r="J1440" s="162"/>
      <c r="K1440" s="162">
        <f>SUM(I1440:J1440)</f>
        <v>1000000</v>
      </c>
      <c r="L1440" s="27"/>
      <c r="M1440" s="1223"/>
      <c r="N1440" s="61"/>
      <c r="O1440" s="61"/>
    </row>
    <row r="1441" spans="1:15" x14ac:dyDescent="0.2">
      <c r="A1441" s="106"/>
      <c r="B1441" s="113"/>
      <c r="C1441" s="122"/>
      <c r="D1441" s="103"/>
      <c r="E1441" s="250"/>
      <c r="F1441" s="46"/>
      <c r="G1441" s="64"/>
      <c r="H1441" s="55"/>
      <c r="I1441" s="69"/>
      <c r="J1441" s="63"/>
      <c r="K1441" s="203"/>
    </row>
    <row r="1442" spans="1:15" s="642" customFormat="1" ht="22.5" x14ac:dyDescent="0.2">
      <c r="A1442" s="94"/>
      <c r="B1442" s="111"/>
      <c r="C1442" s="119"/>
      <c r="D1442" s="99"/>
      <c r="E1442" s="176"/>
      <c r="F1442" s="1"/>
      <c r="G1442" s="38"/>
      <c r="H1442" s="166" t="s">
        <v>876</v>
      </c>
      <c r="I1442" s="289"/>
      <c r="J1442" s="156"/>
      <c r="K1442" s="157"/>
      <c r="L1442" s="27"/>
      <c r="M1442" s="1223"/>
      <c r="N1442" s="61"/>
      <c r="O1442" s="61"/>
    </row>
    <row r="1443" spans="1:15" s="642" customFormat="1" x14ac:dyDescent="0.2">
      <c r="A1443" s="583"/>
      <c r="B1443" s="781"/>
      <c r="C1443" s="121"/>
      <c r="D1443" s="101"/>
      <c r="E1443" s="177"/>
      <c r="F1443" s="124">
        <v>275</v>
      </c>
      <c r="G1443" s="154" t="s">
        <v>332</v>
      </c>
      <c r="H1443" s="90" t="s">
        <v>20</v>
      </c>
      <c r="I1443" s="241">
        <v>500000</v>
      </c>
      <c r="J1443" s="160"/>
      <c r="K1443" s="187">
        <f>SUM(I1443:J1443)</f>
        <v>500000</v>
      </c>
      <c r="L1443" s="27"/>
      <c r="M1443" s="1223"/>
      <c r="N1443" s="61"/>
      <c r="O1443" s="61"/>
    </row>
    <row r="1444" spans="1:15" s="642" customFormat="1" x14ac:dyDescent="0.2">
      <c r="A1444" s="94"/>
      <c r="B1444" s="111"/>
      <c r="C1444" s="119"/>
      <c r="D1444" s="99"/>
      <c r="E1444" s="176"/>
      <c r="F1444" s="1"/>
      <c r="G1444" s="38" t="s">
        <v>39</v>
      </c>
      <c r="H1444" s="90" t="s">
        <v>40</v>
      </c>
      <c r="I1444" s="241">
        <f>SUM(I1443)</f>
        <v>500000</v>
      </c>
      <c r="J1444" s="160"/>
      <c r="K1444" s="187">
        <f>SUM(I1444:J1444)</f>
        <v>500000</v>
      </c>
      <c r="L1444" s="27"/>
      <c r="M1444" s="1223"/>
      <c r="N1444" s="61"/>
      <c r="O1444" s="61"/>
    </row>
    <row r="1445" spans="1:15" s="642" customFormat="1" ht="14.25" customHeight="1" x14ac:dyDescent="0.2">
      <c r="A1445" s="583"/>
      <c r="B1445" s="781"/>
      <c r="C1445" s="121"/>
      <c r="D1445" s="101"/>
      <c r="E1445" s="177"/>
      <c r="F1445" s="42"/>
      <c r="G1445" s="43"/>
      <c r="H1445" s="97" t="s">
        <v>687</v>
      </c>
      <c r="I1445" s="179">
        <f>SUM(I1444)</f>
        <v>500000</v>
      </c>
      <c r="J1445" s="162"/>
      <c r="K1445" s="162">
        <f>SUM(K1444)</f>
        <v>500000</v>
      </c>
      <c r="L1445" s="27"/>
      <c r="M1445" s="1223"/>
      <c r="N1445" s="61"/>
      <c r="O1445" s="61"/>
    </row>
    <row r="1446" spans="1:15" s="642" customFormat="1" ht="24.75" customHeight="1" x14ac:dyDescent="0.2">
      <c r="A1446" s="94"/>
      <c r="B1446" s="111"/>
      <c r="C1446" s="119"/>
      <c r="D1446" s="99"/>
      <c r="E1446" s="176"/>
      <c r="F1446" s="1"/>
      <c r="G1446" s="38"/>
      <c r="H1446" s="44"/>
      <c r="I1446" s="481"/>
      <c r="J1446" s="47"/>
      <c r="K1446" s="200"/>
      <c r="L1446" s="27"/>
      <c r="M1446" s="1223"/>
      <c r="N1446" s="61"/>
      <c r="O1446" s="61"/>
    </row>
    <row r="1447" spans="1:15" s="642" customFormat="1" ht="22.5" x14ac:dyDescent="0.2">
      <c r="A1447" s="94"/>
      <c r="B1447" s="111"/>
      <c r="C1447" s="119"/>
      <c r="D1447" s="99"/>
      <c r="E1447" s="176"/>
      <c r="F1447" s="1"/>
      <c r="G1447" s="38"/>
      <c r="H1447" s="166" t="s">
        <v>877</v>
      </c>
      <c r="I1447" s="289"/>
      <c r="J1447" s="156"/>
      <c r="K1447" s="157"/>
      <c r="L1447" s="27"/>
      <c r="M1447" s="1223"/>
      <c r="N1447" s="61"/>
      <c r="O1447" s="61"/>
    </row>
    <row r="1448" spans="1:15" s="642" customFormat="1" x14ac:dyDescent="0.2">
      <c r="A1448" s="583"/>
      <c r="B1448" s="781"/>
      <c r="C1448" s="121"/>
      <c r="D1448" s="101"/>
      <c r="E1448" s="177"/>
      <c r="F1448" s="124">
        <v>276</v>
      </c>
      <c r="G1448" s="154" t="s">
        <v>332</v>
      </c>
      <c r="H1448" s="90" t="s">
        <v>20</v>
      </c>
      <c r="I1448" s="241">
        <v>1000</v>
      </c>
      <c r="J1448" s="160"/>
      <c r="K1448" s="187">
        <f>SUM(I1448:J1448)</f>
        <v>1000</v>
      </c>
      <c r="L1448" s="26"/>
      <c r="M1448" s="1223"/>
      <c r="N1448" s="61"/>
      <c r="O1448" s="61"/>
    </row>
    <row r="1449" spans="1:15" s="642" customFormat="1" x14ac:dyDescent="0.2">
      <c r="A1449" s="919"/>
      <c r="B1449" s="787"/>
      <c r="C1449" s="120"/>
      <c r="D1449" s="100"/>
      <c r="E1449" s="246"/>
      <c r="F1449" s="41"/>
      <c r="G1449" s="45" t="s">
        <v>39</v>
      </c>
      <c r="H1449" s="90" t="s">
        <v>40</v>
      </c>
      <c r="I1449" s="241">
        <f>SUM(I1448)</f>
        <v>1000</v>
      </c>
      <c r="J1449" s="160"/>
      <c r="K1449" s="187">
        <f>SUM(I1449:J1449)</f>
        <v>1000</v>
      </c>
      <c r="L1449" s="27"/>
      <c r="M1449" s="1223"/>
      <c r="N1449" s="61"/>
      <c r="O1449" s="61"/>
    </row>
    <row r="1450" spans="1:15" s="642" customFormat="1" x14ac:dyDescent="0.2">
      <c r="A1450" s="583"/>
      <c r="B1450" s="781"/>
      <c r="C1450" s="121"/>
      <c r="D1450" s="101"/>
      <c r="E1450" s="177"/>
      <c r="F1450" s="42"/>
      <c r="G1450" s="43"/>
      <c r="H1450" s="97" t="s">
        <v>688</v>
      </c>
      <c r="I1450" s="179">
        <f>SUM(I1449)</f>
        <v>1000</v>
      </c>
      <c r="J1450" s="162"/>
      <c r="K1450" s="162">
        <f>SUM(K1449)</f>
        <v>1000</v>
      </c>
      <c r="L1450" s="27"/>
      <c r="M1450" s="1223"/>
      <c r="N1450" s="61"/>
      <c r="O1450" s="61"/>
    </row>
    <row r="1451" spans="1:15" s="642" customFormat="1" ht="24.75" customHeight="1" x14ac:dyDescent="0.2">
      <c r="A1451" s="94"/>
      <c r="B1451" s="111"/>
      <c r="C1451" s="119"/>
      <c r="D1451" s="99"/>
      <c r="E1451" s="176"/>
      <c r="F1451" s="1"/>
      <c r="G1451" s="38"/>
      <c r="H1451" s="29"/>
      <c r="I1451" s="481"/>
      <c r="J1451" s="60"/>
      <c r="K1451" s="200"/>
      <c r="L1451" s="27"/>
      <c r="M1451" s="1223"/>
      <c r="N1451" s="61"/>
      <c r="O1451" s="61"/>
    </row>
    <row r="1452" spans="1:15" s="642" customFormat="1" ht="23.25" customHeight="1" x14ac:dyDescent="0.2">
      <c r="A1452" s="94"/>
      <c r="B1452" s="111"/>
      <c r="C1452" s="119"/>
      <c r="D1452" s="99"/>
      <c r="E1452" s="176"/>
      <c r="F1452" s="1"/>
      <c r="G1452" s="38"/>
      <c r="H1452" s="167" t="s">
        <v>878</v>
      </c>
      <c r="I1452" s="286"/>
      <c r="J1452" s="158"/>
      <c r="K1452" s="159"/>
      <c r="L1452" s="27"/>
      <c r="M1452" s="1223"/>
      <c r="N1452" s="61"/>
      <c r="O1452" s="61"/>
    </row>
    <row r="1453" spans="1:15" s="642" customFormat="1" x14ac:dyDescent="0.2">
      <c r="A1453" s="94"/>
      <c r="B1453" s="111"/>
      <c r="C1453" s="119"/>
      <c r="D1453" s="99"/>
      <c r="E1453" s="176"/>
      <c r="F1453" s="95" t="s">
        <v>1099</v>
      </c>
      <c r="G1453" s="154" t="s">
        <v>51</v>
      </c>
      <c r="H1453" s="285" t="s">
        <v>840</v>
      </c>
      <c r="I1453" s="1094">
        <v>1000</v>
      </c>
      <c r="J1453" s="595"/>
      <c r="K1453" s="595">
        <f>SUM(I1453:J1453)</f>
        <v>1000</v>
      </c>
      <c r="L1453" s="26"/>
      <c r="M1453" s="1223"/>
      <c r="N1453" s="61"/>
      <c r="O1453" s="61"/>
    </row>
    <row r="1454" spans="1:15" s="642" customFormat="1" x14ac:dyDescent="0.2">
      <c r="A1454" s="94"/>
      <c r="B1454" s="111"/>
      <c r="C1454" s="119"/>
      <c r="D1454" s="99"/>
      <c r="E1454" s="176"/>
      <c r="F1454" s="124">
        <v>277</v>
      </c>
      <c r="G1454" s="154" t="s">
        <v>332</v>
      </c>
      <c r="H1454" s="90" t="s">
        <v>20</v>
      </c>
      <c r="I1454" s="241">
        <v>1000</v>
      </c>
      <c r="J1454" s="160"/>
      <c r="K1454" s="187">
        <f>SUM(I1454:J1454)</f>
        <v>1000</v>
      </c>
      <c r="L1454" s="26"/>
      <c r="M1454" s="1223"/>
      <c r="N1454" s="61"/>
      <c r="O1454" s="61"/>
    </row>
    <row r="1455" spans="1:15" s="642" customFormat="1" x14ac:dyDescent="0.2">
      <c r="A1455" s="94"/>
      <c r="B1455" s="111"/>
      <c r="C1455" s="119"/>
      <c r="D1455" s="99"/>
      <c r="E1455" s="176"/>
      <c r="F1455" s="41"/>
      <c r="G1455" s="45" t="s">
        <v>39</v>
      </c>
      <c r="H1455" s="90" t="s">
        <v>40</v>
      </c>
      <c r="I1455" s="241">
        <f>SUM(I1453:I1454)</f>
        <v>2000</v>
      </c>
      <c r="J1455" s="160"/>
      <c r="K1455" s="187">
        <f>SUM(I1455:J1455)</f>
        <v>2000</v>
      </c>
      <c r="L1455" s="27"/>
      <c r="M1455" s="1223"/>
      <c r="N1455" s="61"/>
      <c r="O1455" s="61"/>
    </row>
    <row r="1456" spans="1:15" s="642" customFormat="1" x14ac:dyDescent="0.2">
      <c r="A1456" s="94"/>
      <c r="B1456" s="111"/>
      <c r="C1456" s="119"/>
      <c r="D1456" s="99"/>
      <c r="E1456" s="176"/>
      <c r="F1456" s="42"/>
      <c r="G1456" s="43"/>
      <c r="H1456" s="97" t="s">
        <v>689</v>
      </c>
      <c r="I1456" s="179">
        <f>SUM(I1455)</f>
        <v>2000</v>
      </c>
      <c r="J1456" s="162"/>
      <c r="K1456" s="162">
        <f>SUM(K1455)</f>
        <v>2000</v>
      </c>
      <c r="L1456" s="27"/>
      <c r="M1456" s="1223"/>
      <c r="N1456" s="61"/>
      <c r="O1456" s="61"/>
    </row>
    <row r="1457" spans="1:15" x14ac:dyDescent="0.2">
      <c r="A1457" s="106"/>
      <c r="B1457" s="113"/>
      <c r="C1457" s="122"/>
      <c r="D1457" s="103"/>
      <c r="E1457" s="250"/>
      <c r="F1457" s="46"/>
      <c r="G1457" s="64"/>
      <c r="H1457" s="70"/>
      <c r="I1457" s="69"/>
      <c r="J1457" s="66"/>
      <c r="K1457" s="203"/>
    </row>
    <row r="1458" spans="1:15" s="642" customFormat="1" ht="15" customHeight="1" x14ac:dyDescent="0.2">
      <c r="A1458" s="94"/>
      <c r="B1458" s="111"/>
      <c r="C1458" s="119"/>
      <c r="D1458" s="99"/>
      <c r="E1458" s="176"/>
      <c r="F1458" s="1"/>
      <c r="G1458" s="38"/>
      <c r="H1458" s="1095" t="s">
        <v>879</v>
      </c>
      <c r="I1458" s="286"/>
      <c r="J1458" s="158"/>
      <c r="K1458" s="159"/>
      <c r="L1458" s="27"/>
      <c r="M1458" s="1223"/>
      <c r="N1458" s="61"/>
      <c r="O1458" s="61"/>
    </row>
    <row r="1459" spans="1:15" s="642" customFormat="1" x14ac:dyDescent="0.2">
      <c r="A1459" s="94"/>
      <c r="B1459" s="111"/>
      <c r="C1459" s="119"/>
      <c r="D1459" s="99"/>
      <c r="E1459" s="176"/>
      <c r="F1459" s="95" t="s">
        <v>1100</v>
      </c>
      <c r="G1459" s="154" t="s">
        <v>51</v>
      </c>
      <c r="H1459" s="285" t="s">
        <v>840</v>
      </c>
      <c r="I1459" s="1094">
        <v>1000</v>
      </c>
      <c r="J1459" s="595"/>
      <c r="K1459" s="595">
        <f>SUM(I1459:J1459)</f>
        <v>1000</v>
      </c>
      <c r="L1459" s="26"/>
      <c r="M1459" s="1223"/>
      <c r="N1459" s="61"/>
      <c r="O1459" s="61"/>
    </row>
    <row r="1460" spans="1:15" s="642" customFormat="1" x14ac:dyDescent="0.2">
      <c r="A1460" s="94"/>
      <c r="B1460" s="111"/>
      <c r="C1460" s="119"/>
      <c r="D1460" s="99"/>
      <c r="E1460" s="176"/>
      <c r="F1460" s="124">
        <v>278</v>
      </c>
      <c r="G1460" s="154" t="s">
        <v>332</v>
      </c>
      <c r="H1460" s="90" t="s">
        <v>20</v>
      </c>
      <c r="I1460" s="241">
        <v>1000</v>
      </c>
      <c r="J1460" s="160"/>
      <c r="K1460" s="187">
        <f>SUM(I1460:J1460)</f>
        <v>1000</v>
      </c>
      <c r="L1460" s="26"/>
      <c r="M1460" s="1223"/>
      <c r="N1460" s="61"/>
      <c r="O1460" s="61"/>
    </row>
    <row r="1461" spans="1:15" s="642" customFormat="1" x14ac:dyDescent="0.2">
      <c r="A1461" s="94"/>
      <c r="B1461" s="111"/>
      <c r="C1461" s="119"/>
      <c r="D1461" s="99"/>
      <c r="E1461" s="176"/>
      <c r="F1461" s="41"/>
      <c r="G1461" s="45" t="s">
        <v>39</v>
      </c>
      <c r="H1461" s="90" t="s">
        <v>40</v>
      </c>
      <c r="I1461" s="241">
        <f>SUM(I1459:I1460)</f>
        <v>2000</v>
      </c>
      <c r="J1461" s="160"/>
      <c r="K1461" s="187">
        <f>SUM(I1461:J1461)</f>
        <v>2000</v>
      </c>
      <c r="L1461" s="27"/>
      <c r="M1461" s="1223"/>
      <c r="N1461" s="61"/>
      <c r="O1461" s="61"/>
    </row>
    <row r="1462" spans="1:15" s="642" customFormat="1" x14ac:dyDescent="0.2">
      <c r="A1462" s="94"/>
      <c r="B1462" s="111"/>
      <c r="C1462" s="119"/>
      <c r="D1462" s="99"/>
      <c r="E1462" s="176"/>
      <c r="F1462" s="42"/>
      <c r="G1462" s="43"/>
      <c r="H1462" s="97" t="s">
        <v>690</v>
      </c>
      <c r="I1462" s="179">
        <f>SUM(I1461)</f>
        <v>2000</v>
      </c>
      <c r="J1462" s="162"/>
      <c r="K1462" s="162">
        <f>SUM(K1461)</f>
        <v>2000</v>
      </c>
      <c r="L1462" s="27"/>
      <c r="M1462" s="1223"/>
      <c r="N1462" s="61"/>
      <c r="O1462" s="61"/>
    </row>
    <row r="1463" spans="1:15" s="642" customFormat="1" x14ac:dyDescent="0.2">
      <c r="A1463" s="94"/>
      <c r="B1463" s="111"/>
      <c r="C1463" s="119"/>
      <c r="D1463" s="99"/>
      <c r="E1463" s="176"/>
      <c r="F1463" s="1"/>
      <c r="G1463" s="38"/>
      <c r="H1463" s="44"/>
      <c r="I1463" s="481"/>
      <c r="J1463" s="47"/>
      <c r="K1463" s="200"/>
      <c r="L1463" s="27"/>
      <c r="M1463" s="1223"/>
      <c r="N1463" s="61"/>
      <c r="O1463" s="61"/>
    </row>
    <row r="1464" spans="1:15" s="642" customFormat="1" ht="22.5" x14ac:dyDescent="0.2">
      <c r="A1464" s="94"/>
      <c r="B1464" s="111"/>
      <c r="C1464" s="119"/>
      <c r="D1464" s="99"/>
      <c r="E1464" s="176"/>
      <c r="F1464" s="1"/>
      <c r="G1464" s="38"/>
      <c r="H1464" s="1093" t="s">
        <v>1146</v>
      </c>
      <c r="I1464" s="289"/>
      <c r="J1464" s="156"/>
      <c r="K1464" s="157"/>
      <c r="L1464" s="27"/>
      <c r="M1464" s="1223"/>
      <c r="N1464" s="61"/>
      <c r="O1464" s="61"/>
    </row>
    <row r="1465" spans="1:15" s="642" customFormat="1" x14ac:dyDescent="0.2">
      <c r="A1465" s="583"/>
      <c r="B1465" s="781"/>
      <c r="C1465" s="121"/>
      <c r="D1465" s="101"/>
      <c r="E1465" s="177"/>
      <c r="F1465" s="124">
        <v>279</v>
      </c>
      <c r="G1465" s="154" t="s">
        <v>332</v>
      </c>
      <c r="H1465" s="90" t="s">
        <v>20</v>
      </c>
      <c r="I1465" s="241">
        <v>5800000</v>
      </c>
      <c r="J1465" s="160"/>
      <c r="K1465" s="187">
        <f>SUM(I1465:J1465)</f>
        <v>5800000</v>
      </c>
      <c r="L1465" s="26"/>
      <c r="M1465" s="1223"/>
      <c r="N1465" s="61"/>
      <c r="O1465" s="61"/>
    </row>
    <row r="1466" spans="1:15" s="642" customFormat="1" x14ac:dyDescent="0.2">
      <c r="A1466" s="94"/>
      <c r="B1466" s="111"/>
      <c r="C1466" s="119"/>
      <c r="D1466" s="99"/>
      <c r="E1466" s="176"/>
      <c r="F1466" s="1"/>
      <c r="G1466" s="38" t="s">
        <v>39</v>
      </c>
      <c r="H1466" s="90" t="s">
        <v>40</v>
      </c>
      <c r="I1466" s="241">
        <f>SUM(I1465)</f>
        <v>5800000</v>
      </c>
      <c r="J1466" s="160"/>
      <c r="K1466" s="187">
        <f>SUM(I1466:J1466)</f>
        <v>5800000</v>
      </c>
      <c r="L1466" s="27"/>
      <c r="M1466" s="1223"/>
      <c r="N1466" s="61"/>
      <c r="O1466" s="61"/>
    </row>
    <row r="1467" spans="1:15" s="642" customFormat="1" x14ac:dyDescent="0.2">
      <c r="A1467" s="583"/>
      <c r="B1467" s="781"/>
      <c r="C1467" s="121"/>
      <c r="D1467" s="101"/>
      <c r="E1467" s="177"/>
      <c r="F1467" s="42"/>
      <c r="G1467" s="43"/>
      <c r="H1467" s="97" t="s">
        <v>853</v>
      </c>
      <c r="I1467" s="179">
        <f>SUM(I1466)</f>
        <v>5800000</v>
      </c>
      <c r="J1467" s="162"/>
      <c r="K1467" s="162">
        <f>SUM(K1466)</f>
        <v>5800000</v>
      </c>
      <c r="L1467" s="27"/>
      <c r="M1467" s="1223"/>
      <c r="N1467" s="61"/>
      <c r="O1467" s="61"/>
    </row>
    <row r="1468" spans="1:15" ht="24.75" customHeight="1" x14ac:dyDescent="0.2">
      <c r="A1468" s="106"/>
      <c r="B1468" s="113"/>
      <c r="C1468" s="122"/>
      <c r="D1468" s="103"/>
      <c r="E1468" s="250"/>
      <c r="F1468" s="46"/>
      <c r="G1468" s="64"/>
      <c r="H1468" s="55"/>
      <c r="I1468" s="69"/>
      <c r="J1468" s="63"/>
      <c r="K1468" s="203"/>
    </row>
    <row r="1469" spans="1:15" s="642" customFormat="1" ht="22.5" x14ac:dyDescent="0.2">
      <c r="A1469" s="94"/>
      <c r="B1469" s="111"/>
      <c r="C1469" s="119"/>
      <c r="D1469" s="99"/>
      <c r="E1469" s="176"/>
      <c r="F1469" s="1"/>
      <c r="G1469" s="38"/>
      <c r="H1469" s="1093" t="s">
        <v>880</v>
      </c>
      <c r="I1469" s="289"/>
      <c r="J1469" s="156"/>
      <c r="K1469" s="157"/>
      <c r="L1469" s="27"/>
      <c r="M1469" s="1223"/>
      <c r="N1469" s="61"/>
      <c r="O1469" s="61"/>
    </row>
    <row r="1470" spans="1:15" s="642" customFormat="1" x14ac:dyDescent="0.2">
      <c r="A1470" s="583"/>
      <c r="B1470" s="781"/>
      <c r="C1470" s="121"/>
      <c r="D1470" s="101"/>
      <c r="E1470" s="177"/>
      <c r="F1470" s="124">
        <v>280</v>
      </c>
      <c r="G1470" s="521" t="s">
        <v>332</v>
      </c>
      <c r="H1470" s="90" t="s">
        <v>20</v>
      </c>
      <c r="I1470" s="241">
        <v>6000000</v>
      </c>
      <c r="J1470" s="160"/>
      <c r="K1470" s="187">
        <f>SUM(I1470:J1470)</f>
        <v>6000000</v>
      </c>
      <c r="L1470" s="26"/>
      <c r="M1470" s="1223"/>
      <c r="N1470" s="61"/>
      <c r="O1470" s="61"/>
    </row>
    <row r="1471" spans="1:15" s="642" customFormat="1" x14ac:dyDescent="0.2">
      <c r="A1471" s="94"/>
      <c r="B1471" s="111"/>
      <c r="C1471" s="119"/>
      <c r="D1471" s="99"/>
      <c r="E1471" s="176"/>
      <c r="F1471" s="1"/>
      <c r="G1471" s="38" t="s">
        <v>39</v>
      </c>
      <c r="H1471" s="90" t="s">
        <v>40</v>
      </c>
      <c r="I1471" s="241">
        <f>SUM(I1470)</f>
        <v>6000000</v>
      </c>
      <c r="J1471" s="160"/>
      <c r="K1471" s="187">
        <f>SUM(I1471:J1471)</f>
        <v>6000000</v>
      </c>
      <c r="L1471" s="27"/>
      <c r="M1471" s="1223"/>
      <c r="N1471" s="61"/>
      <c r="O1471" s="61"/>
    </row>
    <row r="1472" spans="1:15" s="642" customFormat="1" x14ac:dyDescent="0.2">
      <c r="A1472" s="583"/>
      <c r="B1472" s="781"/>
      <c r="C1472" s="121"/>
      <c r="D1472" s="101"/>
      <c r="E1472" s="177"/>
      <c r="F1472" s="42"/>
      <c r="G1472" s="43"/>
      <c r="H1472" s="97" t="s">
        <v>691</v>
      </c>
      <c r="I1472" s="179">
        <f>SUM(I1471)</f>
        <v>6000000</v>
      </c>
      <c r="J1472" s="162"/>
      <c r="K1472" s="162">
        <f>SUM(K1471)</f>
        <v>6000000</v>
      </c>
      <c r="L1472" s="27"/>
      <c r="M1472" s="1223"/>
      <c r="N1472" s="61"/>
      <c r="O1472" s="61"/>
    </row>
    <row r="1473" spans="1:15" s="642" customFormat="1" ht="24.75" customHeight="1" x14ac:dyDescent="0.2">
      <c r="A1473" s="94"/>
      <c r="B1473" s="111"/>
      <c r="C1473" s="119"/>
      <c r="D1473" s="99"/>
      <c r="E1473" s="176"/>
      <c r="F1473" s="1"/>
      <c r="G1473" s="38"/>
      <c r="H1473" s="29"/>
      <c r="I1473" s="481"/>
      <c r="J1473" s="60"/>
      <c r="K1473" s="200"/>
      <c r="L1473" s="27"/>
      <c r="M1473" s="1223"/>
      <c r="N1473" s="61"/>
      <c r="O1473" s="61"/>
    </row>
    <row r="1474" spans="1:15" s="642" customFormat="1" x14ac:dyDescent="0.2">
      <c r="A1474" s="94"/>
      <c r="B1474" s="111"/>
      <c r="C1474" s="119"/>
      <c r="D1474" s="99"/>
      <c r="E1474" s="176"/>
      <c r="F1474" s="1"/>
      <c r="G1474" s="38"/>
      <c r="H1474" s="1095" t="s">
        <v>881</v>
      </c>
      <c r="I1474" s="286"/>
      <c r="J1474" s="158"/>
      <c r="K1474" s="159"/>
      <c r="L1474" s="27"/>
      <c r="M1474" s="1223"/>
      <c r="N1474" s="61"/>
      <c r="O1474" s="61"/>
    </row>
    <row r="1475" spans="1:15" s="642" customFormat="1" x14ac:dyDescent="0.2">
      <c r="A1475" s="94"/>
      <c r="B1475" s="111"/>
      <c r="C1475" s="119"/>
      <c r="D1475" s="99"/>
      <c r="E1475" s="176"/>
      <c r="F1475" s="95">
        <v>281</v>
      </c>
      <c r="G1475" s="154" t="s">
        <v>51</v>
      </c>
      <c r="H1475" s="285" t="s">
        <v>10</v>
      </c>
      <c r="I1475" s="241">
        <v>1000</v>
      </c>
      <c r="J1475" s="187"/>
      <c r="K1475" s="187">
        <f>SUM(I1475:J1475)</f>
        <v>1000</v>
      </c>
      <c r="L1475" s="26"/>
      <c r="M1475" s="1223"/>
      <c r="N1475" s="61"/>
      <c r="O1475" s="61"/>
    </row>
    <row r="1476" spans="1:15" s="642" customFormat="1" x14ac:dyDescent="0.2">
      <c r="A1476" s="94"/>
      <c r="B1476" s="111"/>
      <c r="C1476" s="119"/>
      <c r="D1476" s="99"/>
      <c r="E1476" s="176"/>
      <c r="F1476" s="124">
        <v>282</v>
      </c>
      <c r="G1476" s="521" t="s">
        <v>332</v>
      </c>
      <c r="H1476" s="90" t="s">
        <v>20</v>
      </c>
      <c r="I1476" s="241">
        <v>1000</v>
      </c>
      <c r="J1476" s="160"/>
      <c r="K1476" s="187">
        <f>SUM(I1476:J1476)</f>
        <v>1000</v>
      </c>
      <c r="L1476" s="26"/>
      <c r="M1476" s="1223"/>
      <c r="N1476" s="61"/>
      <c r="O1476" s="61"/>
    </row>
    <row r="1477" spans="1:15" s="642" customFormat="1" x14ac:dyDescent="0.2">
      <c r="A1477" s="94"/>
      <c r="B1477" s="111"/>
      <c r="C1477" s="119"/>
      <c r="D1477" s="99"/>
      <c r="E1477" s="176"/>
      <c r="F1477" s="1"/>
      <c r="G1477" s="38" t="s">
        <v>39</v>
      </c>
      <c r="H1477" s="90" t="s">
        <v>40</v>
      </c>
      <c r="I1477" s="241">
        <f>SUM(I1475:I1476)</f>
        <v>2000</v>
      </c>
      <c r="J1477" s="160"/>
      <c r="K1477" s="187">
        <f>SUM(I1477:J1477)</f>
        <v>2000</v>
      </c>
      <c r="L1477" s="27"/>
      <c r="M1477" s="1223"/>
      <c r="N1477" s="61"/>
      <c r="O1477" s="61"/>
    </row>
    <row r="1478" spans="1:15" s="642" customFormat="1" x14ac:dyDescent="0.2">
      <c r="A1478" s="94"/>
      <c r="B1478" s="111"/>
      <c r="C1478" s="119"/>
      <c r="D1478" s="99"/>
      <c r="E1478" s="176"/>
      <c r="F1478" s="42"/>
      <c r="G1478" s="43"/>
      <c r="H1478" s="97" t="s">
        <v>692</v>
      </c>
      <c r="I1478" s="179">
        <f>SUM(I1477)</f>
        <v>2000</v>
      </c>
      <c r="J1478" s="162"/>
      <c r="K1478" s="162">
        <f>SUM(K1477)</f>
        <v>2000</v>
      </c>
      <c r="L1478" s="27"/>
      <c r="M1478" s="1223"/>
      <c r="N1478" s="61"/>
      <c r="O1478" s="61"/>
    </row>
    <row r="1479" spans="1:15" x14ac:dyDescent="0.2">
      <c r="A1479" s="106"/>
      <c r="B1479" s="113"/>
      <c r="C1479" s="122"/>
      <c r="D1479" s="103"/>
      <c r="E1479" s="250"/>
      <c r="F1479" s="46"/>
      <c r="G1479" s="64"/>
      <c r="H1479" s="55"/>
      <c r="I1479" s="69"/>
      <c r="J1479" s="63"/>
      <c r="K1479" s="203"/>
    </row>
    <row r="1480" spans="1:15" s="642" customFormat="1" ht="22.5" x14ac:dyDescent="0.2">
      <c r="A1480" s="94"/>
      <c r="B1480" s="111"/>
      <c r="C1480" s="119"/>
      <c r="D1480" s="99"/>
      <c r="E1480" s="176"/>
      <c r="F1480" s="1"/>
      <c r="G1480" s="38"/>
      <c r="H1480" s="1095" t="s">
        <v>882</v>
      </c>
      <c r="I1480" s="286"/>
      <c r="J1480" s="158"/>
      <c r="K1480" s="159"/>
      <c r="L1480" s="27"/>
      <c r="M1480" s="1223"/>
      <c r="N1480" s="61"/>
      <c r="O1480" s="61"/>
    </row>
    <row r="1481" spans="1:15" s="642" customFormat="1" x14ac:dyDescent="0.2">
      <c r="A1481" s="94"/>
      <c r="B1481" s="111"/>
      <c r="C1481" s="119"/>
      <c r="D1481" s="99"/>
      <c r="E1481" s="176"/>
      <c r="F1481" s="95" t="s">
        <v>1101</v>
      </c>
      <c r="G1481" s="154" t="s">
        <v>51</v>
      </c>
      <c r="H1481" s="285" t="s">
        <v>10</v>
      </c>
      <c r="I1481" s="1094">
        <v>1000</v>
      </c>
      <c r="J1481" s="595"/>
      <c r="K1481" s="187">
        <f>SUM(I1481:J1481)</f>
        <v>1000</v>
      </c>
      <c r="L1481" s="26"/>
      <c r="M1481" s="1223"/>
      <c r="N1481" s="61"/>
      <c r="O1481" s="61"/>
    </row>
    <row r="1482" spans="1:15" s="642" customFormat="1" x14ac:dyDescent="0.2">
      <c r="A1482" s="583"/>
      <c r="B1482" s="781"/>
      <c r="C1482" s="121"/>
      <c r="D1482" s="101"/>
      <c r="E1482" s="177"/>
      <c r="F1482" s="124">
        <v>283</v>
      </c>
      <c r="G1482" s="154" t="s">
        <v>332</v>
      </c>
      <c r="H1482" s="90" t="s">
        <v>20</v>
      </c>
      <c r="I1482" s="241">
        <v>1000</v>
      </c>
      <c r="J1482" s="160"/>
      <c r="K1482" s="187">
        <f>SUM(I1482:J1482)</f>
        <v>1000</v>
      </c>
      <c r="L1482" s="26"/>
      <c r="M1482" s="1223"/>
      <c r="N1482" s="61"/>
      <c r="O1482" s="61"/>
    </row>
    <row r="1483" spans="1:15" s="642" customFormat="1" x14ac:dyDescent="0.2">
      <c r="A1483" s="94"/>
      <c r="B1483" s="111"/>
      <c r="C1483" s="119"/>
      <c r="D1483" s="99"/>
      <c r="E1483" s="176"/>
      <c r="F1483" s="1"/>
      <c r="G1483" s="38" t="s">
        <v>39</v>
      </c>
      <c r="H1483" s="90" t="s">
        <v>40</v>
      </c>
      <c r="I1483" s="241">
        <f>SUM(I1481:I1482)</f>
        <v>2000</v>
      </c>
      <c r="J1483" s="160"/>
      <c r="K1483" s="187">
        <f>SUM(I1483:J1483)</f>
        <v>2000</v>
      </c>
      <c r="L1483" s="27"/>
      <c r="M1483" s="1223"/>
      <c r="N1483" s="61"/>
      <c r="O1483" s="61"/>
    </row>
    <row r="1484" spans="1:15" s="642" customFormat="1" x14ac:dyDescent="0.2">
      <c r="A1484" s="583"/>
      <c r="B1484" s="781"/>
      <c r="C1484" s="121"/>
      <c r="D1484" s="101"/>
      <c r="E1484" s="177"/>
      <c r="F1484" s="42"/>
      <c r="G1484" s="43"/>
      <c r="H1484" s="97" t="s">
        <v>719</v>
      </c>
      <c r="I1484" s="179">
        <f>SUM(I1483)</f>
        <v>2000</v>
      </c>
      <c r="J1484" s="162"/>
      <c r="K1484" s="162">
        <f>SUM(K1483)</f>
        <v>2000</v>
      </c>
      <c r="L1484" s="27"/>
      <c r="M1484" s="1223"/>
      <c r="N1484" s="61"/>
      <c r="O1484" s="61"/>
    </row>
    <row r="1485" spans="1:15" s="642" customFormat="1" ht="18" customHeight="1" x14ac:dyDescent="0.2">
      <c r="A1485" s="94"/>
      <c r="B1485" s="111"/>
      <c r="C1485" s="119"/>
      <c r="D1485" s="99"/>
      <c r="E1485" s="176"/>
      <c r="F1485" s="1"/>
      <c r="G1485" s="38"/>
      <c r="H1485" s="44"/>
      <c r="I1485" s="481"/>
      <c r="J1485" s="47"/>
      <c r="K1485" s="200"/>
      <c r="L1485" s="27"/>
      <c r="M1485" s="1223"/>
      <c r="N1485" s="61"/>
      <c r="O1485" s="61"/>
    </row>
    <row r="1486" spans="1:15" s="642" customFormat="1" ht="33.75" customHeight="1" x14ac:dyDescent="0.2">
      <c r="A1486" s="94"/>
      <c r="B1486" s="111"/>
      <c r="C1486" s="119"/>
      <c r="D1486" s="99"/>
      <c r="E1486" s="176"/>
      <c r="F1486" s="1"/>
      <c r="G1486" s="38"/>
      <c r="H1486" s="1093" t="s">
        <v>883</v>
      </c>
      <c r="I1486" s="289"/>
      <c r="J1486" s="156"/>
      <c r="K1486" s="157"/>
      <c r="L1486" s="27"/>
      <c r="M1486" s="1223"/>
      <c r="N1486" s="61"/>
      <c r="O1486" s="61"/>
    </row>
    <row r="1487" spans="1:15" s="642" customFormat="1" x14ac:dyDescent="0.2">
      <c r="A1487" s="583"/>
      <c r="B1487" s="781"/>
      <c r="C1487" s="121"/>
      <c r="D1487" s="101"/>
      <c r="E1487" s="177"/>
      <c r="F1487" s="124">
        <v>284</v>
      </c>
      <c r="G1487" s="521" t="s">
        <v>332</v>
      </c>
      <c r="H1487" s="90" t="s">
        <v>20</v>
      </c>
      <c r="I1487" s="241">
        <v>1000</v>
      </c>
      <c r="J1487" s="160"/>
      <c r="K1487" s="187">
        <f>SUM(I1487:J1487)</f>
        <v>1000</v>
      </c>
      <c r="L1487" s="26"/>
      <c r="M1487" s="1223"/>
      <c r="N1487" s="61"/>
      <c r="O1487" s="61"/>
    </row>
    <row r="1488" spans="1:15" s="642" customFormat="1" x14ac:dyDescent="0.2">
      <c r="A1488" s="94"/>
      <c r="B1488" s="111"/>
      <c r="C1488" s="119"/>
      <c r="D1488" s="99"/>
      <c r="E1488" s="176"/>
      <c r="F1488" s="1"/>
      <c r="G1488" s="38" t="s">
        <v>39</v>
      </c>
      <c r="H1488" s="90" t="s">
        <v>40</v>
      </c>
      <c r="I1488" s="241">
        <f>SUM(I1487)</f>
        <v>1000</v>
      </c>
      <c r="J1488" s="160"/>
      <c r="K1488" s="187">
        <f>SUM(I1488:J1488)</f>
        <v>1000</v>
      </c>
      <c r="L1488" s="27"/>
      <c r="M1488" s="1223"/>
      <c r="N1488" s="61"/>
      <c r="O1488" s="61"/>
    </row>
    <row r="1489" spans="1:15" s="642" customFormat="1" x14ac:dyDescent="0.2">
      <c r="A1489" s="583"/>
      <c r="B1489" s="781"/>
      <c r="C1489" s="121"/>
      <c r="D1489" s="101"/>
      <c r="E1489" s="177"/>
      <c r="F1489" s="42"/>
      <c r="G1489" s="43"/>
      <c r="H1489" s="97" t="s">
        <v>720</v>
      </c>
      <c r="I1489" s="179">
        <f>SUM(I1488)</f>
        <v>1000</v>
      </c>
      <c r="J1489" s="162"/>
      <c r="K1489" s="162">
        <f>SUM(K1488)</f>
        <v>1000</v>
      </c>
      <c r="L1489" s="27"/>
      <c r="M1489" s="1223"/>
      <c r="N1489" s="61"/>
      <c r="O1489" s="61"/>
    </row>
    <row r="1490" spans="1:15" ht="16.5" customHeight="1" x14ac:dyDescent="0.2">
      <c r="A1490" s="106"/>
      <c r="B1490" s="113"/>
      <c r="C1490" s="122"/>
      <c r="D1490" s="103"/>
      <c r="E1490" s="250"/>
      <c r="F1490" s="46"/>
      <c r="G1490" s="64"/>
      <c r="H1490" s="55"/>
      <c r="I1490" s="69"/>
      <c r="J1490" s="63"/>
      <c r="K1490" s="203"/>
    </row>
    <row r="1491" spans="1:15" s="642" customFormat="1" ht="22.5" x14ac:dyDescent="0.2">
      <c r="A1491" s="94"/>
      <c r="B1491" s="111"/>
      <c r="C1491" s="119"/>
      <c r="D1491" s="99"/>
      <c r="E1491" s="176"/>
      <c r="F1491" s="1"/>
      <c r="G1491" s="38"/>
      <c r="H1491" s="1093" t="s">
        <v>884</v>
      </c>
      <c r="I1491" s="289"/>
      <c r="J1491" s="156"/>
      <c r="K1491" s="157"/>
      <c r="L1491" s="27"/>
      <c r="M1491" s="1223"/>
      <c r="N1491" s="61"/>
      <c r="O1491" s="61"/>
    </row>
    <row r="1492" spans="1:15" s="642" customFormat="1" x14ac:dyDescent="0.2">
      <c r="A1492" s="583"/>
      <c r="B1492" s="781"/>
      <c r="C1492" s="121"/>
      <c r="D1492" s="101"/>
      <c r="E1492" s="177"/>
      <c r="F1492" s="124">
        <v>285</v>
      </c>
      <c r="G1492" s="154" t="s">
        <v>51</v>
      </c>
      <c r="H1492" s="90" t="s">
        <v>10</v>
      </c>
      <c r="I1492" s="241">
        <v>1000000</v>
      </c>
      <c r="J1492" s="160"/>
      <c r="K1492" s="187">
        <f>SUM(I1492:J1492)</f>
        <v>1000000</v>
      </c>
      <c r="L1492" s="27"/>
      <c r="M1492" s="1223"/>
      <c r="N1492" s="61"/>
      <c r="O1492" s="61"/>
    </row>
    <row r="1493" spans="1:15" s="642" customFormat="1" x14ac:dyDescent="0.2">
      <c r="A1493" s="94"/>
      <c r="B1493" s="111"/>
      <c r="C1493" s="119"/>
      <c r="D1493" s="99"/>
      <c r="E1493" s="176"/>
      <c r="F1493" s="1"/>
      <c r="G1493" s="38" t="s">
        <v>39</v>
      </c>
      <c r="H1493" s="90" t="s">
        <v>40</v>
      </c>
      <c r="I1493" s="241">
        <f>SUM(I1492)</f>
        <v>1000000</v>
      </c>
      <c r="J1493" s="160"/>
      <c r="K1493" s="187">
        <f>SUM(I1493:J1493)</f>
        <v>1000000</v>
      </c>
      <c r="L1493" s="27"/>
      <c r="M1493" s="1223"/>
      <c r="N1493" s="61"/>
      <c r="O1493" s="61"/>
    </row>
    <row r="1494" spans="1:15" s="642" customFormat="1" x14ac:dyDescent="0.2">
      <c r="A1494" s="583"/>
      <c r="B1494" s="781"/>
      <c r="C1494" s="121"/>
      <c r="D1494" s="101"/>
      <c r="E1494" s="177"/>
      <c r="F1494" s="42"/>
      <c r="G1494" s="43"/>
      <c r="H1494" s="97" t="s">
        <v>693</v>
      </c>
      <c r="I1494" s="179">
        <f>SUM(I1493)</f>
        <v>1000000</v>
      </c>
      <c r="J1494" s="162"/>
      <c r="K1494" s="162">
        <f>SUM(K1493)</f>
        <v>1000000</v>
      </c>
      <c r="L1494" s="27"/>
      <c r="M1494" s="1223"/>
      <c r="N1494" s="61"/>
      <c r="O1494" s="61"/>
    </row>
    <row r="1495" spans="1:15" ht="28.5" customHeight="1" x14ac:dyDescent="0.2">
      <c r="A1495" s="106"/>
      <c r="B1495" s="113"/>
      <c r="C1495" s="122"/>
      <c r="D1495" s="103"/>
      <c r="E1495" s="250"/>
      <c r="F1495" s="46"/>
      <c r="G1495" s="64"/>
      <c r="H1495" s="55"/>
      <c r="I1495" s="69"/>
      <c r="J1495" s="63"/>
      <c r="K1495" s="203"/>
    </row>
    <row r="1496" spans="1:15" ht="33.75" x14ac:dyDescent="0.2">
      <c r="A1496" s="110"/>
      <c r="B1496" s="118"/>
      <c r="C1496" s="209"/>
      <c r="D1496" s="369"/>
      <c r="E1496" s="254"/>
      <c r="F1496" s="41"/>
      <c r="G1496" s="45"/>
      <c r="H1496" s="1093" t="s">
        <v>885</v>
      </c>
      <c r="I1496" s="289"/>
      <c r="J1496" s="156"/>
      <c r="K1496" s="157"/>
      <c r="L1496" s="358"/>
    </row>
    <row r="1497" spans="1:15" x14ac:dyDescent="0.2">
      <c r="A1497" s="109"/>
      <c r="B1497" s="117"/>
      <c r="C1497" s="117"/>
      <c r="D1497" s="130"/>
      <c r="E1497" s="255"/>
      <c r="F1497" s="124">
        <v>286</v>
      </c>
      <c r="G1497" s="154" t="s">
        <v>332</v>
      </c>
      <c r="H1497" s="90" t="s">
        <v>20</v>
      </c>
      <c r="I1497" s="241">
        <v>2000</v>
      </c>
      <c r="J1497" s="160"/>
      <c r="K1497" s="187">
        <f>SUM(I1497:J1497)</f>
        <v>2000</v>
      </c>
      <c r="L1497" s="52"/>
    </row>
    <row r="1498" spans="1:15" x14ac:dyDescent="0.2">
      <c r="A1498" s="106"/>
      <c r="B1498" s="113"/>
      <c r="C1498" s="122"/>
      <c r="D1498" s="103"/>
      <c r="E1498" s="250"/>
      <c r="F1498" s="1"/>
      <c r="G1498" s="38" t="s">
        <v>39</v>
      </c>
      <c r="H1498" s="516" t="s">
        <v>40</v>
      </c>
      <c r="I1498" s="241">
        <v>1000</v>
      </c>
      <c r="J1498" s="160"/>
      <c r="K1498" s="187">
        <f>SUM(I1498:J1498)</f>
        <v>1000</v>
      </c>
    </row>
    <row r="1499" spans="1:15" x14ac:dyDescent="0.2">
      <c r="A1499" s="106"/>
      <c r="B1499" s="113"/>
      <c r="C1499" s="122"/>
      <c r="D1499" s="103"/>
      <c r="E1499" s="250"/>
      <c r="F1499" s="1"/>
      <c r="G1499" s="38" t="s">
        <v>157</v>
      </c>
      <c r="H1499" s="90" t="s">
        <v>517</v>
      </c>
      <c r="I1499" s="241">
        <v>1000</v>
      </c>
      <c r="J1499" s="160"/>
      <c r="K1499" s="187">
        <f>SUM(I1499:J1499)</f>
        <v>1000</v>
      </c>
    </row>
    <row r="1500" spans="1:15" x14ac:dyDescent="0.2">
      <c r="A1500" s="107"/>
      <c r="B1500" s="114"/>
      <c r="C1500" s="123"/>
      <c r="D1500" s="104"/>
      <c r="E1500" s="253"/>
      <c r="F1500" s="475"/>
      <c r="G1500" s="983"/>
      <c r="H1500" s="517" t="s">
        <v>694</v>
      </c>
      <c r="I1500" s="179">
        <f>SUM(I1498:I1499)</f>
        <v>2000</v>
      </c>
      <c r="J1500" s="162"/>
      <c r="K1500" s="162">
        <f>SUM(I1500:J1500)</f>
        <v>2000</v>
      </c>
    </row>
    <row r="1501" spans="1:15" x14ac:dyDescent="0.2">
      <c r="A1501" s="106"/>
      <c r="B1501" s="113"/>
      <c r="C1501" s="122"/>
      <c r="D1501" s="103"/>
      <c r="E1501" s="397"/>
      <c r="F1501" s="184"/>
      <c r="G1501" s="30"/>
      <c r="H1501" s="29"/>
      <c r="I1501" s="481"/>
      <c r="J1501" s="60"/>
      <c r="K1501" s="200"/>
    </row>
    <row r="1502" spans="1:15" ht="48" customHeight="1" x14ac:dyDescent="0.2">
      <c r="A1502" s="106"/>
      <c r="B1502" s="113"/>
      <c r="C1502" s="122"/>
      <c r="D1502" s="103"/>
      <c r="E1502" s="250"/>
      <c r="F1502" s="1"/>
      <c r="G1502" s="38"/>
      <c r="H1502" s="1093" t="s">
        <v>1119</v>
      </c>
      <c r="I1502" s="289"/>
      <c r="J1502" s="156"/>
      <c r="K1502" s="157"/>
    </row>
    <row r="1503" spans="1:15" x14ac:dyDescent="0.2">
      <c r="A1503" s="106"/>
      <c r="B1503" s="113"/>
      <c r="C1503" s="122"/>
      <c r="D1503" s="103"/>
      <c r="E1503" s="250"/>
      <c r="F1503" s="124" t="s">
        <v>1118</v>
      </c>
      <c r="G1503" s="154" t="s">
        <v>332</v>
      </c>
      <c r="H1503" s="90" t="s">
        <v>20</v>
      </c>
      <c r="I1503" s="241">
        <v>14097906.99</v>
      </c>
      <c r="J1503" s="160"/>
      <c r="K1503" s="187">
        <f>SUM(I1503:J1503)</f>
        <v>14097906.99</v>
      </c>
    </row>
    <row r="1504" spans="1:15" x14ac:dyDescent="0.2">
      <c r="A1504" s="106"/>
      <c r="B1504" s="113"/>
      <c r="C1504" s="122"/>
      <c r="D1504" s="103"/>
      <c r="E1504" s="250"/>
      <c r="F1504" s="1"/>
      <c r="G1504" s="38" t="s">
        <v>39</v>
      </c>
      <c r="H1504" s="516" t="s">
        <v>40</v>
      </c>
      <c r="I1504" s="241">
        <f>SUM(I1506-I1505)</f>
        <v>8517490.7200000007</v>
      </c>
      <c r="J1504" s="160"/>
      <c r="K1504" s="187">
        <f>SUM(I1504:J1504)</f>
        <v>8517490.7200000007</v>
      </c>
    </row>
    <row r="1505" spans="1:15" x14ac:dyDescent="0.2">
      <c r="A1505" s="106"/>
      <c r="B1505" s="113"/>
      <c r="C1505" s="122"/>
      <c r="D1505" s="103"/>
      <c r="E1505" s="250"/>
      <c r="F1505" s="1"/>
      <c r="G1505" s="38" t="s">
        <v>157</v>
      </c>
      <c r="H1505" s="90" t="s">
        <v>517</v>
      </c>
      <c r="I1505" s="241">
        <v>5580416.2699999996</v>
      </c>
      <c r="J1505" s="160"/>
      <c r="K1505" s="187">
        <f>SUM(I1505:J1505)</f>
        <v>5580416.2699999996</v>
      </c>
    </row>
    <row r="1506" spans="1:15" x14ac:dyDescent="0.2">
      <c r="A1506" s="106"/>
      <c r="B1506" s="113"/>
      <c r="C1506" s="122"/>
      <c r="D1506" s="103"/>
      <c r="E1506" s="250"/>
      <c r="F1506" s="42"/>
      <c r="G1506" s="43"/>
      <c r="H1506" s="517" t="s">
        <v>1018</v>
      </c>
      <c r="I1506" s="179">
        <f>SUM(I1503)</f>
        <v>14097906.99</v>
      </c>
      <c r="J1506" s="162"/>
      <c r="K1506" s="162">
        <f>SUM(I1506:J1506)</f>
        <v>14097906.99</v>
      </c>
    </row>
    <row r="1507" spans="1:15" s="16" customFormat="1" ht="15" x14ac:dyDescent="0.25">
      <c r="A1507" s="106"/>
      <c r="B1507" s="113"/>
      <c r="C1507" s="122"/>
      <c r="D1507" s="103"/>
      <c r="E1507" s="250"/>
      <c r="F1507" s="46"/>
      <c r="G1507" s="64"/>
      <c r="H1507" s="55"/>
      <c r="I1507" s="69"/>
      <c r="J1507" s="63"/>
      <c r="K1507" s="203"/>
      <c r="L1507" s="26"/>
      <c r="M1507" s="1223"/>
      <c r="N1507" s="53"/>
      <c r="O1507" s="53"/>
    </row>
    <row r="1508" spans="1:15" s="642" customFormat="1" ht="22.5" x14ac:dyDescent="0.2">
      <c r="A1508" s="94"/>
      <c r="B1508" s="111"/>
      <c r="C1508" s="119"/>
      <c r="D1508" s="99"/>
      <c r="E1508" s="176"/>
      <c r="F1508" s="1"/>
      <c r="G1508" s="38"/>
      <c r="H1508" s="1093" t="s">
        <v>886</v>
      </c>
      <c r="I1508" s="289"/>
      <c r="J1508" s="156"/>
      <c r="K1508" s="157"/>
      <c r="L1508" s="27"/>
      <c r="M1508" s="1223"/>
      <c r="N1508" s="61"/>
      <c r="O1508" s="61"/>
    </row>
    <row r="1509" spans="1:15" s="642" customFormat="1" x14ac:dyDescent="0.2">
      <c r="A1509" s="94"/>
      <c r="B1509" s="111"/>
      <c r="C1509" s="119"/>
      <c r="D1509" s="99"/>
      <c r="E1509" s="176"/>
      <c r="F1509" s="124">
        <v>287</v>
      </c>
      <c r="G1509" s="154" t="s">
        <v>332</v>
      </c>
      <c r="H1509" s="90" t="s">
        <v>20</v>
      </c>
      <c r="I1509" s="241">
        <v>1000</v>
      </c>
      <c r="J1509" s="160"/>
      <c r="K1509" s="187">
        <f>SUM(I1509:J1509)</f>
        <v>1000</v>
      </c>
      <c r="L1509" s="26"/>
      <c r="M1509" s="1223"/>
      <c r="N1509" s="61"/>
      <c r="O1509" s="61"/>
    </row>
    <row r="1510" spans="1:15" s="642" customFormat="1" x14ac:dyDescent="0.2">
      <c r="A1510" s="94"/>
      <c r="B1510" s="98"/>
      <c r="C1510" s="99"/>
      <c r="D1510" s="99"/>
      <c r="E1510" s="965"/>
      <c r="F1510" s="1"/>
      <c r="G1510" s="38" t="s">
        <v>39</v>
      </c>
      <c r="H1510" s="90" t="s">
        <v>40</v>
      </c>
      <c r="I1510" s="241">
        <f>SUM(I1509)</f>
        <v>1000</v>
      </c>
      <c r="J1510" s="160"/>
      <c r="K1510" s="187">
        <f>SUM(I1510:J1510)</f>
        <v>1000</v>
      </c>
      <c r="L1510" s="27"/>
      <c r="M1510" s="1223"/>
      <c r="N1510" s="61"/>
      <c r="O1510" s="61"/>
    </row>
    <row r="1511" spans="1:15" s="642" customFormat="1" x14ac:dyDescent="0.2">
      <c r="A1511" s="583"/>
      <c r="B1511" s="780"/>
      <c r="C1511" s="101"/>
      <c r="D1511" s="101"/>
      <c r="E1511" s="968"/>
      <c r="F1511" s="42"/>
      <c r="G1511" s="43"/>
      <c r="H1511" s="97" t="s">
        <v>854</v>
      </c>
      <c r="I1511" s="179">
        <f>SUM(I1510)</f>
        <v>1000</v>
      </c>
      <c r="J1511" s="162"/>
      <c r="K1511" s="162">
        <f>SUM(K1510)</f>
        <v>1000</v>
      </c>
      <c r="L1511" s="27"/>
      <c r="M1511" s="1223"/>
      <c r="N1511" s="61"/>
      <c r="O1511" s="61"/>
    </row>
    <row r="1512" spans="1:15" ht="15" customHeight="1" x14ac:dyDescent="0.2">
      <c r="A1512" s="390"/>
      <c r="B1512" s="371"/>
      <c r="C1512" s="372"/>
      <c r="D1512" s="370"/>
      <c r="E1512" s="256"/>
      <c r="F1512" s="194"/>
      <c r="G1512" s="195"/>
      <c r="H1512" s="147"/>
      <c r="I1512" s="239"/>
      <c r="J1512" s="191"/>
      <c r="K1512" s="313"/>
      <c r="L1512" s="358"/>
    </row>
    <row r="1513" spans="1:15" ht="22.5" x14ac:dyDescent="0.2">
      <c r="A1513" s="106"/>
      <c r="B1513" s="113"/>
      <c r="C1513" s="122"/>
      <c r="D1513" s="103"/>
      <c r="E1513" s="250"/>
      <c r="F1513" s="1"/>
      <c r="G1513" s="1"/>
      <c r="H1513" s="1093" t="s">
        <v>887</v>
      </c>
      <c r="I1513" s="156"/>
      <c r="J1513" s="156"/>
      <c r="K1513" s="157"/>
    </row>
    <row r="1514" spans="1:15" x14ac:dyDescent="0.2">
      <c r="A1514" s="106"/>
      <c r="B1514" s="113"/>
      <c r="C1514" s="122"/>
      <c r="D1514" s="103"/>
      <c r="E1514" s="250"/>
      <c r="F1514" s="95" t="s">
        <v>1081</v>
      </c>
      <c r="G1514" s="154" t="s">
        <v>51</v>
      </c>
      <c r="H1514" s="90" t="s">
        <v>10</v>
      </c>
      <c r="I1514" s="187">
        <v>40000</v>
      </c>
      <c r="J1514" s="188"/>
      <c r="K1514" s="187">
        <f t="shared" ref="K1514:K1519" si="88">SUM(I1514:J1514)</f>
        <v>40000</v>
      </c>
    </row>
    <row r="1515" spans="1:15" x14ac:dyDescent="0.2">
      <c r="A1515" s="107"/>
      <c r="B1515" s="114"/>
      <c r="C1515" s="123"/>
      <c r="D1515" s="104"/>
      <c r="E1515" s="253"/>
      <c r="F1515" s="124">
        <v>288</v>
      </c>
      <c r="G1515" s="457">
        <v>511</v>
      </c>
      <c r="H1515" s="90" t="s">
        <v>20</v>
      </c>
      <c r="I1515" s="1275">
        <v>1800000</v>
      </c>
      <c r="J1515" s="161"/>
      <c r="K1515" s="160">
        <f t="shared" si="88"/>
        <v>1800000</v>
      </c>
    </row>
    <row r="1516" spans="1:15" x14ac:dyDescent="0.2">
      <c r="A1516" s="106"/>
      <c r="B1516" s="113"/>
      <c r="C1516" s="122"/>
      <c r="D1516" s="103"/>
      <c r="E1516" s="250"/>
      <c r="F1516" s="1"/>
      <c r="G1516" s="38" t="s">
        <v>39</v>
      </c>
      <c r="H1516" s="90" t="s">
        <v>40</v>
      </c>
      <c r="I1516" s="160">
        <f>SUM(I1519-I1517-I1518)</f>
        <v>320930.40000000014</v>
      </c>
      <c r="J1516" s="161"/>
      <c r="K1516" s="160">
        <f t="shared" si="88"/>
        <v>320930.40000000014</v>
      </c>
    </row>
    <row r="1517" spans="1:15" s="364" customFormat="1" x14ac:dyDescent="0.2">
      <c r="A1517" s="106"/>
      <c r="B1517" s="113"/>
      <c r="C1517" s="122"/>
      <c r="D1517" s="103"/>
      <c r="E1517" s="250"/>
      <c r="F1517" s="1"/>
      <c r="G1517" s="38" t="s">
        <v>157</v>
      </c>
      <c r="H1517" s="90" t="s">
        <v>517</v>
      </c>
      <c r="I1517" s="160">
        <v>322783.45</v>
      </c>
      <c r="J1517" s="161"/>
      <c r="K1517" s="160">
        <f t="shared" si="88"/>
        <v>322783.45</v>
      </c>
      <c r="L1517" s="26"/>
      <c r="M1517" s="48"/>
      <c r="N1517" s="363"/>
      <c r="O1517" s="363"/>
    </row>
    <row r="1518" spans="1:15" s="364" customFormat="1" x14ac:dyDescent="0.2">
      <c r="A1518" s="106"/>
      <c r="B1518" s="113"/>
      <c r="C1518" s="122"/>
      <c r="D1518" s="103"/>
      <c r="E1518" s="250"/>
      <c r="F1518" s="1"/>
      <c r="G1518" s="38" t="s">
        <v>1141</v>
      </c>
      <c r="H1518" s="90" t="s">
        <v>1142</v>
      </c>
      <c r="I1518" s="160">
        <v>1196286.1499999999</v>
      </c>
      <c r="J1518" s="161"/>
      <c r="K1518" s="160">
        <f t="shared" si="88"/>
        <v>1196286.1499999999</v>
      </c>
      <c r="L1518" s="26"/>
      <c r="M1518" s="822"/>
      <c r="N1518" s="363"/>
      <c r="O1518" s="363"/>
    </row>
    <row r="1519" spans="1:15" ht="28.5" customHeight="1" x14ac:dyDescent="0.2">
      <c r="A1519" s="107"/>
      <c r="B1519" s="114"/>
      <c r="C1519" s="123"/>
      <c r="D1519" s="104"/>
      <c r="E1519" s="253"/>
      <c r="F1519" s="42"/>
      <c r="G1519" s="43"/>
      <c r="H1519" s="97" t="s">
        <v>695</v>
      </c>
      <c r="I1519" s="162">
        <f>SUM(I1514:I1515)</f>
        <v>1840000</v>
      </c>
      <c r="J1519" s="162"/>
      <c r="K1519" s="162">
        <f t="shared" si="88"/>
        <v>1840000</v>
      </c>
      <c r="M1519" s="863"/>
    </row>
    <row r="1520" spans="1:15" x14ac:dyDescent="0.2">
      <c r="A1520" s="106"/>
      <c r="B1520" s="113"/>
      <c r="C1520" s="122"/>
      <c r="D1520" s="103"/>
      <c r="E1520" s="250"/>
      <c r="F1520" s="46"/>
      <c r="G1520" s="64"/>
      <c r="H1520" s="55"/>
      <c r="I1520" s="63"/>
      <c r="J1520" s="63"/>
      <c r="K1520" s="202"/>
    </row>
    <row r="1521" spans="1:15" s="642" customFormat="1" ht="22.5" x14ac:dyDescent="0.2">
      <c r="A1521" s="94"/>
      <c r="B1521" s="111"/>
      <c r="C1521" s="119"/>
      <c r="D1521" s="99"/>
      <c r="E1521" s="176"/>
      <c r="F1521" s="1"/>
      <c r="G1521" s="38"/>
      <c r="H1521" s="1093" t="s">
        <v>888</v>
      </c>
      <c r="I1521" s="156"/>
      <c r="J1521" s="156"/>
      <c r="K1521" s="157"/>
      <c r="L1521" s="27"/>
      <c r="M1521" s="1223"/>
      <c r="N1521" s="61"/>
      <c r="O1521" s="61"/>
    </row>
    <row r="1522" spans="1:15" s="642" customFormat="1" x14ac:dyDescent="0.2">
      <c r="A1522" s="583"/>
      <c r="B1522" s="781"/>
      <c r="C1522" s="121"/>
      <c r="D1522" s="101"/>
      <c r="E1522" s="177"/>
      <c r="F1522" s="124">
        <v>289</v>
      </c>
      <c r="G1522" s="154" t="s">
        <v>51</v>
      </c>
      <c r="H1522" s="90" t="s">
        <v>10</v>
      </c>
      <c r="I1522" s="160">
        <v>1200000</v>
      </c>
      <c r="J1522" s="1025"/>
      <c r="K1522" s="160">
        <f>SUM(I1522:J1522)</f>
        <v>1200000</v>
      </c>
      <c r="L1522" s="27"/>
      <c r="M1522" s="1223"/>
      <c r="N1522" s="61"/>
      <c r="O1522" s="61"/>
    </row>
    <row r="1523" spans="1:15" s="642" customFormat="1" x14ac:dyDescent="0.2">
      <c r="A1523" s="94"/>
      <c r="B1523" s="111"/>
      <c r="C1523" s="119"/>
      <c r="D1523" s="99"/>
      <c r="E1523" s="176"/>
      <c r="F1523" s="1"/>
      <c r="G1523" s="38" t="s">
        <v>39</v>
      </c>
      <c r="H1523" s="90" t="s">
        <v>40</v>
      </c>
      <c r="I1523" s="160">
        <f>SUM(I1522)</f>
        <v>1200000</v>
      </c>
      <c r="J1523" s="160"/>
      <c r="K1523" s="160">
        <f>SUM(I1523:J1523)</f>
        <v>1200000</v>
      </c>
      <c r="L1523" s="27"/>
      <c r="M1523" s="1223"/>
      <c r="N1523" s="61"/>
      <c r="O1523" s="61"/>
    </row>
    <row r="1524" spans="1:15" s="642" customFormat="1" x14ac:dyDescent="0.2">
      <c r="A1524" s="583"/>
      <c r="B1524" s="781"/>
      <c r="C1524" s="121"/>
      <c r="D1524" s="101"/>
      <c r="E1524" s="177"/>
      <c r="F1524" s="42"/>
      <c r="G1524" s="43"/>
      <c r="H1524" s="97" t="s">
        <v>696</v>
      </c>
      <c r="I1524" s="162">
        <f>SUM(I1523)</f>
        <v>1200000</v>
      </c>
      <c r="J1524" s="162"/>
      <c r="K1524" s="162">
        <f>SUM(I1524:J1524)</f>
        <v>1200000</v>
      </c>
      <c r="L1524" s="27"/>
      <c r="M1524" s="1223"/>
      <c r="N1524" s="61"/>
      <c r="O1524" s="61"/>
    </row>
    <row r="1525" spans="1:15" x14ac:dyDescent="0.2">
      <c r="A1525" s="106"/>
      <c r="B1525" s="113"/>
      <c r="C1525" s="122"/>
      <c r="D1525" s="103"/>
      <c r="E1525" s="250"/>
      <c r="F1525" s="46"/>
      <c r="G1525" s="64"/>
      <c r="H1525" s="55"/>
      <c r="I1525" s="63"/>
      <c r="J1525" s="63"/>
      <c r="K1525" s="202"/>
    </row>
    <row r="1526" spans="1:15" s="642" customFormat="1" ht="22.5" x14ac:dyDescent="0.2">
      <c r="A1526" s="94"/>
      <c r="B1526" s="111"/>
      <c r="C1526" s="119"/>
      <c r="D1526" s="99"/>
      <c r="E1526" s="176"/>
      <c r="F1526" s="1"/>
      <c r="G1526" s="38"/>
      <c r="H1526" s="1093" t="s">
        <v>889</v>
      </c>
      <c r="I1526" s="156"/>
      <c r="J1526" s="156"/>
      <c r="K1526" s="157"/>
      <c r="L1526" s="27"/>
      <c r="M1526" s="1223"/>
      <c r="N1526" s="61"/>
      <c r="O1526" s="61"/>
    </row>
    <row r="1527" spans="1:15" s="642" customFormat="1" x14ac:dyDescent="0.2">
      <c r="A1527" s="583"/>
      <c r="B1527" s="781"/>
      <c r="C1527" s="121"/>
      <c r="D1527" s="101"/>
      <c r="E1527" s="177"/>
      <c r="F1527" s="124">
        <v>290</v>
      </c>
      <c r="G1527" s="154" t="s">
        <v>51</v>
      </c>
      <c r="H1527" s="90" t="s">
        <v>10</v>
      </c>
      <c r="I1527" s="160">
        <v>1000</v>
      </c>
      <c r="J1527" s="160"/>
      <c r="K1527" s="160">
        <f>SUM(I1527:J1527)</f>
        <v>1000</v>
      </c>
      <c r="L1527" s="26"/>
      <c r="M1527" s="1223"/>
      <c r="N1527" s="61"/>
      <c r="O1527" s="61"/>
    </row>
    <row r="1528" spans="1:15" s="642" customFormat="1" x14ac:dyDescent="0.2">
      <c r="A1528" s="919"/>
      <c r="B1528" s="787"/>
      <c r="C1528" s="120"/>
      <c r="D1528" s="100"/>
      <c r="E1528" s="246"/>
      <c r="F1528" s="41"/>
      <c r="G1528" s="45" t="s">
        <v>39</v>
      </c>
      <c r="H1528" s="90" t="s">
        <v>40</v>
      </c>
      <c r="I1528" s="160">
        <f>SUM(I1527)</f>
        <v>1000</v>
      </c>
      <c r="J1528" s="160"/>
      <c r="K1528" s="160">
        <f>SUM(I1528:J1528)</f>
        <v>1000</v>
      </c>
      <c r="L1528" s="27"/>
      <c r="M1528" s="1223"/>
      <c r="N1528" s="61"/>
      <c r="O1528" s="61"/>
    </row>
    <row r="1529" spans="1:15" s="642" customFormat="1" x14ac:dyDescent="0.2">
      <c r="A1529" s="583"/>
      <c r="B1529" s="781"/>
      <c r="C1529" s="121"/>
      <c r="D1529" s="101"/>
      <c r="E1529" s="177"/>
      <c r="F1529" s="42"/>
      <c r="G1529" s="43"/>
      <c r="H1529" s="97" t="s">
        <v>697</v>
      </c>
      <c r="I1529" s="162">
        <f>SUM(I1528)</f>
        <v>1000</v>
      </c>
      <c r="J1529" s="162"/>
      <c r="K1529" s="162">
        <f>SUM(I1529:J1529)</f>
        <v>1000</v>
      </c>
      <c r="L1529" s="27"/>
      <c r="M1529" s="1223"/>
      <c r="N1529" s="61"/>
      <c r="O1529" s="61"/>
    </row>
    <row r="1530" spans="1:15" s="642" customFormat="1" x14ac:dyDescent="0.2">
      <c r="A1530" s="94"/>
      <c r="B1530" s="111"/>
      <c r="C1530" s="119"/>
      <c r="D1530" s="99"/>
      <c r="E1530" s="176"/>
      <c r="F1530" s="1"/>
      <c r="G1530" s="38"/>
      <c r="H1530" s="44"/>
      <c r="I1530" s="47"/>
      <c r="J1530" s="47"/>
      <c r="K1530" s="199"/>
      <c r="L1530" s="27"/>
      <c r="M1530" s="1223"/>
      <c r="N1530" s="61"/>
      <c r="O1530" s="61"/>
    </row>
    <row r="1531" spans="1:15" s="642" customFormat="1" ht="22.5" x14ac:dyDescent="0.2">
      <c r="A1531" s="94"/>
      <c r="B1531" s="111"/>
      <c r="C1531" s="119"/>
      <c r="D1531" s="99"/>
      <c r="E1531" s="176"/>
      <c r="F1531" s="1"/>
      <c r="G1531" s="38"/>
      <c r="H1531" s="1093" t="s">
        <v>890</v>
      </c>
      <c r="I1531" s="156"/>
      <c r="J1531" s="156"/>
      <c r="K1531" s="157"/>
      <c r="L1531" s="27"/>
      <c r="M1531" s="1223"/>
      <c r="N1531" s="61"/>
      <c r="O1531" s="61"/>
    </row>
    <row r="1532" spans="1:15" s="642" customFormat="1" x14ac:dyDescent="0.2">
      <c r="A1532" s="583"/>
      <c r="B1532" s="781"/>
      <c r="C1532" s="121"/>
      <c r="D1532" s="101"/>
      <c r="E1532" s="177"/>
      <c r="F1532" s="124">
        <v>291</v>
      </c>
      <c r="G1532" s="154" t="s">
        <v>332</v>
      </c>
      <c r="H1532" s="90" t="s">
        <v>20</v>
      </c>
      <c r="I1532" s="160">
        <v>1000</v>
      </c>
      <c r="J1532" s="160"/>
      <c r="K1532" s="160">
        <f>SUM(I1532:J1532)</f>
        <v>1000</v>
      </c>
      <c r="L1532" s="26"/>
      <c r="M1532" s="1223"/>
      <c r="N1532" s="61"/>
      <c r="O1532" s="61"/>
    </row>
    <row r="1533" spans="1:15" s="642" customFormat="1" x14ac:dyDescent="0.2">
      <c r="A1533" s="94"/>
      <c r="B1533" s="111"/>
      <c r="C1533" s="119"/>
      <c r="D1533" s="99"/>
      <c r="E1533" s="176"/>
      <c r="F1533" s="1"/>
      <c r="G1533" s="38" t="s">
        <v>39</v>
      </c>
      <c r="H1533" s="90" t="s">
        <v>40</v>
      </c>
      <c r="I1533" s="160">
        <v>500</v>
      </c>
      <c r="J1533" s="160"/>
      <c r="K1533" s="160">
        <f>SUM(I1533:J1533)</f>
        <v>500</v>
      </c>
      <c r="L1533" s="27"/>
      <c r="M1533" s="1223"/>
      <c r="N1533" s="61"/>
      <c r="O1533" s="61"/>
    </row>
    <row r="1534" spans="1:15" s="642" customFormat="1" x14ac:dyDescent="0.2">
      <c r="A1534" s="94"/>
      <c r="B1534" s="111"/>
      <c r="C1534" s="119"/>
      <c r="D1534" s="99"/>
      <c r="E1534" s="176"/>
      <c r="F1534" s="1"/>
      <c r="G1534" s="38" t="s">
        <v>157</v>
      </c>
      <c r="H1534" s="90" t="s">
        <v>517</v>
      </c>
      <c r="I1534" s="160">
        <v>500</v>
      </c>
      <c r="J1534" s="160"/>
      <c r="K1534" s="160">
        <f>SUM(I1534:J1534)</f>
        <v>500</v>
      </c>
      <c r="L1534" s="27"/>
      <c r="M1534" s="1223"/>
      <c r="N1534" s="61"/>
      <c r="O1534" s="61"/>
    </row>
    <row r="1535" spans="1:15" s="642" customFormat="1" x14ac:dyDescent="0.2">
      <c r="A1535" s="583"/>
      <c r="B1535" s="781"/>
      <c r="C1535" s="121"/>
      <c r="D1535" s="101"/>
      <c r="E1535" s="177"/>
      <c r="F1535" s="42"/>
      <c r="G1535" s="43"/>
      <c r="H1535" s="97" t="s">
        <v>891</v>
      </c>
      <c r="I1535" s="162">
        <f>SUM(I1532)</f>
        <v>1000</v>
      </c>
      <c r="J1535" s="162"/>
      <c r="K1535" s="162">
        <f>SUM(K1532)</f>
        <v>1000</v>
      </c>
      <c r="L1535" s="27"/>
      <c r="M1535" s="1223"/>
      <c r="N1535" s="61"/>
      <c r="O1535" s="61"/>
    </row>
    <row r="1536" spans="1:15" s="642" customFormat="1" x14ac:dyDescent="0.2">
      <c r="A1536" s="94"/>
      <c r="B1536" s="111"/>
      <c r="C1536" s="119"/>
      <c r="D1536" s="99"/>
      <c r="E1536" s="176"/>
      <c r="F1536" s="1"/>
      <c r="G1536" s="30"/>
      <c r="H1536" s="29"/>
      <c r="I1536" s="60"/>
      <c r="J1536" s="60"/>
      <c r="K1536" s="200"/>
      <c r="L1536" s="27"/>
      <c r="M1536" s="1223"/>
      <c r="N1536" s="61"/>
      <c r="O1536" s="61"/>
    </row>
    <row r="1537" spans="1:15" s="642" customFormat="1" ht="22.5" x14ac:dyDescent="0.2">
      <c r="A1537" s="94"/>
      <c r="B1537" s="111"/>
      <c r="C1537" s="119"/>
      <c r="D1537" s="99"/>
      <c r="E1537" s="176"/>
      <c r="F1537" s="1"/>
      <c r="G1537" s="38"/>
      <c r="H1537" s="1093" t="s">
        <v>1058</v>
      </c>
      <c r="I1537" s="156"/>
      <c r="J1537" s="156"/>
      <c r="K1537" s="157"/>
      <c r="L1537" s="27"/>
      <c r="M1537" s="1223"/>
      <c r="N1537" s="61"/>
      <c r="O1537" s="61"/>
    </row>
    <row r="1538" spans="1:15" s="642" customFormat="1" x14ac:dyDescent="0.2">
      <c r="A1538" s="94"/>
      <c r="B1538" s="111"/>
      <c r="C1538" s="119"/>
      <c r="D1538" s="99"/>
      <c r="E1538" s="176"/>
      <c r="F1538" s="124" t="s">
        <v>1057</v>
      </c>
      <c r="G1538" s="154" t="s">
        <v>51</v>
      </c>
      <c r="H1538" s="175" t="s">
        <v>10</v>
      </c>
      <c r="I1538" s="160">
        <v>3000000</v>
      </c>
      <c r="J1538" s="160"/>
      <c r="K1538" s="160">
        <f>SUM(I1538:J1538)</f>
        <v>3000000</v>
      </c>
      <c r="L1538" s="27"/>
      <c r="M1538" s="1223"/>
      <c r="N1538" s="61"/>
      <c r="O1538" s="61"/>
    </row>
    <row r="1539" spans="1:15" s="642" customFormat="1" x14ac:dyDescent="0.2">
      <c r="A1539" s="94"/>
      <c r="B1539" s="111"/>
      <c r="C1539" s="119"/>
      <c r="D1539" s="99"/>
      <c r="E1539" s="176"/>
      <c r="F1539" s="1"/>
      <c r="G1539" s="38" t="s">
        <v>39</v>
      </c>
      <c r="H1539" s="90" t="s">
        <v>40</v>
      </c>
      <c r="I1539" s="160">
        <f>SUM(I1538)</f>
        <v>3000000</v>
      </c>
      <c r="J1539" s="160"/>
      <c r="K1539" s="160">
        <f>SUM(I1539:J1539)</f>
        <v>3000000</v>
      </c>
      <c r="L1539" s="27"/>
      <c r="M1539" s="1223"/>
      <c r="N1539" s="61"/>
      <c r="O1539" s="61"/>
    </row>
    <row r="1540" spans="1:15" s="642" customFormat="1" x14ac:dyDescent="0.2">
      <c r="A1540" s="94"/>
      <c r="B1540" s="111"/>
      <c r="C1540" s="119"/>
      <c r="D1540" s="99"/>
      <c r="E1540" s="176"/>
      <c r="F1540" s="42"/>
      <c r="G1540" s="43"/>
      <c r="H1540" s="97" t="s">
        <v>700</v>
      </c>
      <c r="I1540" s="162">
        <f>SUM(I1538)</f>
        <v>3000000</v>
      </c>
      <c r="J1540" s="162"/>
      <c r="K1540" s="162">
        <f>SUM(K1538)</f>
        <v>3000000</v>
      </c>
      <c r="L1540" s="27"/>
      <c r="M1540" s="1223"/>
      <c r="N1540" s="61"/>
      <c r="O1540" s="61"/>
    </row>
    <row r="1541" spans="1:15" x14ac:dyDescent="0.2">
      <c r="A1541" s="106"/>
      <c r="B1541" s="113"/>
      <c r="C1541" s="122"/>
      <c r="D1541" s="103"/>
      <c r="E1541" s="250"/>
      <c r="F1541" s="46"/>
      <c r="G1541" s="64"/>
      <c r="H1541" s="55"/>
      <c r="I1541" s="63"/>
      <c r="J1541" s="63"/>
      <c r="K1541" s="202"/>
    </row>
    <row r="1542" spans="1:15" s="642" customFormat="1" ht="22.5" x14ac:dyDescent="0.2">
      <c r="A1542" s="917"/>
      <c r="B1542" s="789"/>
      <c r="C1542" s="790"/>
      <c r="D1542" s="148" t="s">
        <v>310</v>
      </c>
      <c r="E1542" s="767"/>
      <c r="F1542" s="134"/>
      <c r="G1542" s="135"/>
      <c r="H1542" s="988" t="s">
        <v>557</v>
      </c>
      <c r="I1542" s="221">
        <f>SUM(I1552+I1559+I1565+I1570+I1576+I1582+I1589+I1594+I1604+I1609+I1621+I1800+I1626+I1631+I1637+I1642+I1648+I1654+I1660+I1665+I1671+I1676+I1681+I1686+I1691+I1696+I1701+I1707+I1712+I1717+I1723+I1729+I1736+I1741+I1746+I1752+I1757+I1763+I1769+I1775+I1781+I1788+I1794+I1807+I1814+I1826+I1831+I1838+I1844+I1849+I1857+I1863+I1868+I1821+I1614+I1599)</f>
        <v>1215942243.3300002</v>
      </c>
      <c r="J1542" s="221"/>
      <c r="K1542" s="222">
        <f>SUM(I1542:J1542)</f>
        <v>1215942243.3300002</v>
      </c>
      <c r="L1542" s="887"/>
      <c r="M1542" s="1223"/>
      <c r="N1542" s="61"/>
      <c r="O1542" s="61"/>
    </row>
    <row r="1543" spans="1:15" s="642" customFormat="1" x14ac:dyDescent="0.2">
      <c r="A1543" s="108"/>
      <c r="B1543" s="890"/>
      <c r="C1543" s="116"/>
      <c r="D1543" s="126"/>
      <c r="E1543" s="248"/>
      <c r="F1543" s="37"/>
      <c r="G1543" s="30"/>
      <c r="H1543" s="51"/>
      <c r="I1543" s="60"/>
      <c r="J1543" s="60"/>
      <c r="K1543" s="200"/>
      <c r="L1543" s="27"/>
      <c r="M1543" s="1223"/>
      <c r="N1543" s="61"/>
      <c r="O1543" s="61"/>
    </row>
    <row r="1544" spans="1:15" s="642" customFormat="1" x14ac:dyDescent="0.2">
      <c r="A1544" s="94"/>
      <c r="B1544" s="111"/>
      <c r="C1544" s="111">
        <v>620</v>
      </c>
      <c r="D1544" s="129"/>
      <c r="E1544" s="128"/>
      <c r="F1544" s="1"/>
      <c r="G1544" s="40"/>
      <c r="H1544" s="168" t="s">
        <v>142</v>
      </c>
      <c r="I1544" s="171"/>
      <c r="J1544" s="171"/>
      <c r="K1544" s="172"/>
      <c r="L1544" s="27"/>
      <c r="M1544" s="1223"/>
      <c r="N1544" s="61"/>
      <c r="O1544" s="61"/>
    </row>
    <row r="1545" spans="1:15" s="642" customFormat="1" x14ac:dyDescent="0.2">
      <c r="A1545" s="94"/>
      <c r="B1545" s="111"/>
      <c r="C1545" s="111"/>
      <c r="D1545" s="129"/>
      <c r="E1545" s="128"/>
      <c r="F1545" s="1"/>
      <c r="G1545" s="40"/>
      <c r="H1545" s="56"/>
      <c r="I1545" s="47"/>
      <c r="J1545" s="47"/>
      <c r="K1545" s="199"/>
      <c r="L1545" s="27"/>
      <c r="M1545" s="1223"/>
      <c r="N1545" s="61"/>
      <c r="O1545" s="61"/>
    </row>
    <row r="1546" spans="1:15" s="893" customFormat="1" ht="15" customHeight="1" x14ac:dyDescent="0.2">
      <c r="A1546" s="94"/>
      <c r="B1546" s="111"/>
      <c r="C1546" s="119"/>
      <c r="D1546" s="1027"/>
      <c r="E1546" s="128" t="s">
        <v>310</v>
      </c>
      <c r="F1546" s="1"/>
      <c r="G1546" s="38"/>
      <c r="H1546" s="1004" t="s">
        <v>330</v>
      </c>
      <c r="I1546" s="289"/>
      <c r="J1546" s="156"/>
      <c r="K1546" s="157"/>
      <c r="L1546" s="27"/>
      <c r="M1546" s="1224"/>
      <c r="N1546" s="892"/>
      <c r="O1546" s="892"/>
    </row>
    <row r="1547" spans="1:15" s="642" customFormat="1" ht="14.25" customHeight="1" x14ac:dyDescent="0.2">
      <c r="A1547" s="94"/>
      <c r="B1547" s="111"/>
      <c r="C1547" s="119"/>
      <c r="D1547" s="1027"/>
      <c r="E1547" s="128"/>
      <c r="F1547" s="1"/>
      <c r="G1547" s="38"/>
      <c r="H1547" s="29"/>
      <c r="I1547" s="481"/>
      <c r="J1547" s="60"/>
      <c r="K1547" s="200"/>
      <c r="L1547" s="27"/>
      <c r="M1547" s="1223"/>
      <c r="N1547" s="61"/>
      <c r="O1547" s="61"/>
    </row>
    <row r="1548" spans="1:15" s="642" customFormat="1" ht="22.5" x14ac:dyDescent="0.2">
      <c r="A1548" s="94"/>
      <c r="B1548" s="111"/>
      <c r="C1548" s="119"/>
      <c r="D1548" s="1027"/>
      <c r="E1548" s="128"/>
      <c r="F1548" s="1"/>
      <c r="G1548" s="38"/>
      <c r="H1548" s="1083" t="s">
        <v>1104</v>
      </c>
      <c r="I1548" s="524"/>
      <c r="J1548" s="524"/>
      <c r="K1548" s="525"/>
      <c r="L1548" s="27"/>
      <c r="M1548" s="1223"/>
      <c r="N1548" s="61"/>
      <c r="O1548" s="61"/>
    </row>
    <row r="1549" spans="1:15" s="642" customFormat="1" x14ac:dyDescent="0.2">
      <c r="A1549" s="94"/>
      <c r="B1549" s="111"/>
      <c r="C1549" s="119"/>
      <c r="D1549" s="1027"/>
      <c r="E1549" s="128"/>
      <c r="F1549" s="95" t="s">
        <v>1011</v>
      </c>
      <c r="G1549" s="154" t="s">
        <v>51</v>
      </c>
      <c r="H1549" s="175" t="s">
        <v>10</v>
      </c>
      <c r="I1549" s="187">
        <v>1</v>
      </c>
      <c r="J1549" s="187"/>
      <c r="K1549" s="187">
        <f>SUM(I1549:J1549)</f>
        <v>1</v>
      </c>
      <c r="L1549" s="26"/>
      <c r="M1549" s="1223"/>
      <c r="N1549" s="61"/>
      <c r="O1549" s="61"/>
    </row>
    <row r="1550" spans="1:15" s="642" customFormat="1" x14ac:dyDescent="0.2">
      <c r="A1550" s="94"/>
      <c r="B1550" s="111"/>
      <c r="C1550" s="119"/>
      <c r="D1550" s="1027"/>
      <c r="E1550" s="128"/>
      <c r="F1550" s="95" t="s">
        <v>1012</v>
      </c>
      <c r="G1550" s="246" t="s">
        <v>332</v>
      </c>
      <c r="H1550" s="90" t="s">
        <v>20</v>
      </c>
      <c r="I1550" s="187">
        <v>77520000</v>
      </c>
      <c r="J1550" s="187"/>
      <c r="K1550" s="187">
        <f>SUM(I1550:J1550)</f>
        <v>77520000</v>
      </c>
      <c r="L1550" s="26"/>
      <c r="M1550" s="1223"/>
      <c r="N1550" s="61"/>
      <c r="O1550" s="61"/>
    </row>
    <row r="1551" spans="1:15" s="642" customFormat="1" x14ac:dyDescent="0.2">
      <c r="A1551" s="94"/>
      <c r="B1551" s="111"/>
      <c r="C1551" s="119"/>
      <c r="D1551" s="1027"/>
      <c r="E1551" s="128"/>
      <c r="F1551" s="1"/>
      <c r="G1551" s="526" t="s">
        <v>39</v>
      </c>
      <c r="H1551" s="450" t="s">
        <v>40</v>
      </c>
      <c r="I1551" s="187">
        <f>SUM(I1549:I1550)</f>
        <v>77520001</v>
      </c>
      <c r="J1551" s="187"/>
      <c r="K1551" s="187">
        <f>SUM(I1551:J1551)</f>
        <v>77520001</v>
      </c>
      <c r="L1551" s="27"/>
      <c r="M1551" s="1223"/>
      <c r="N1551" s="61"/>
      <c r="O1551" s="61"/>
    </row>
    <row r="1552" spans="1:15" s="642" customFormat="1" x14ac:dyDescent="0.2">
      <c r="A1552" s="94"/>
      <c r="B1552" s="111"/>
      <c r="C1552" s="119"/>
      <c r="D1552" s="1027"/>
      <c r="E1552" s="128"/>
      <c r="F1552" s="1"/>
      <c r="G1552" s="38"/>
      <c r="H1552" s="97" t="s">
        <v>1013</v>
      </c>
      <c r="I1552" s="188">
        <f>SUM(I1549:I1550)</f>
        <v>77520001</v>
      </c>
      <c r="J1552" s="188"/>
      <c r="K1552" s="188">
        <f>SUM(K1551:K1551)</f>
        <v>77520001</v>
      </c>
      <c r="L1552" s="27"/>
      <c r="M1552" s="1223"/>
      <c r="N1552" s="61"/>
      <c r="O1552" s="61"/>
    </row>
    <row r="1553" spans="1:15" s="642" customFormat="1" x14ac:dyDescent="0.2">
      <c r="A1553" s="94"/>
      <c r="B1553" s="111"/>
      <c r="C1553" s="119"/>
      <c r="D1553" s="99"/>
      <c r="E1553" s="176"/>
      <c r="F1553" s="1"/>
      <c r="G1553" s="38"/>
      <c r="H1553" s="44"/>
      <c r="I1553" s="481"/>
      <c r="J1553" s="47"/>
      <c r="K1553" s="200"/>
      <c r="L1553" s="27"/>
      <c r="M1553" s="1223"/>
      <c r="N1553" s="61"/>
      <c r="O1553" s="61"/>
    </row>
    <row r="1554" spans="1:15" s="642" customFormat="1" ht="22.5" x14ac:dyDescent="0.2">
      <c r="A1554" s="94"/>
      <c r="B1554" s="111"/>
      <c r="C1554" s="119"/>
      <c r="D1554" s="99"/>
      <c r="E1554" s="176"/>
      <c r="F1554" s="1"/>
      <c r="G1554" s="38"/>
      <c r="H1554" s="1083" t="s">
        <v>1102</v>
      </c>
      <c r="I1554" s="524"/>
      <c r="J1554" s="524"/>
      <c r="K1554" s="525"/>
      <c r="L1554" s="27"/>
      <c r="M1554" s="1223"/>
      <c r="N1554" s="61"/>
      <c r="O1554" s="61"/>
    </row>
    <row r="1555" spans="1:15" s="642" customFormat="1" x14ac:dyDescent="0.2">
      <c r="A1555" s="94"/>
      <c r="B1555" s="111"/>
      <c r="C1555" s="119"/>
      <c r="D1555" s="99"/>
      <c r="E1555" s="176"/>
      <c r="F1555" s="95">
        <v>292</v>
      </c>
      <c r="G1555" s="154" t="s">
        <v>51</v>
      </c>
      <c r="H1555" s="175" t="s">
        <v>10</v>
      </c>
      <c r="I1555" s="187">
        <v>1000</v>
      </c>
      <c r="J1555" s="187"/>
      <c r="K1555" s="187">
        <f>SUM(I1555:J1555)</f>
        <v>1000</v>
      </c>
      <c r="L1555" s="26"/>
      <c r="M1555" s="1223"/>
      <c r="N1555" s="61"/>
      <c r="O1555" s="61"/>
    </row>
    <row r="1556" spans="1:15" s="642" customFormat="1" x14ac:dyDescent="0.2">
      <c r="A1556" s="94"/>
      <c r="B1556" s="111"/>
      <c r="C1556" s="119"/>
      <c r="D1556" s="99"/>
      <c r="E1556" s="176"/>
      <c r="F1556" s="95">
        <v>293</v>
      </c>
      <c r="G1556" s="246" t="s">
        <v>332</v>
      </c>
      <c r="H1556" s="90" t="s">
        <v>20</v>
      </c>
      <c r="I1556" s="187">
        <v>1000</v>
      </c>
      <c r="J1556" s="187"/>
      <c r="K1556" s="187">
        <f>SUM(I1556:J1556)</f>
        <v>1000</v>
      </c>
      <c r="L1556" s="26"/>
      <c r="M1556" s="1223"/>
      <c r="N1556" s="61"/>
      <c r="O1556" s="61"/>
    </row>
    <row r="1557" spans="1:15" s="642" customFormat="1" x14ac:dyDescent="0.2">
      <c r="A1557" s="94"/>
      <c r="B1557" s="111"/>
      <c r="C1557" s="119"/>
      <c r="D1557" s="99"/>
      <c r="E1557" s="176"/>
      <c r="F1557" s="1"/>
      <c r="G1557" s="526" t="s">
        <v>39</v>
      </c>
      <c r="H1557" s="450" t="s">
        <v>40</v>
      </c>
      <c r="I1557" s="187">
        <v>1000</v>
      </c>
      <c r="J1557" s="187"/>
      <c r="K1557" s="187">
        <f>SUM(I1557:J1557)</f>
        <v>1000</v>
      </c>
      <c r="L1557" s="27"/>
      <c r="M1557" s="1223"/>
      <c r="N1557" s="61"/>
      <c r="O1557" s="61"/>
    </row>
    <row r="1558" spans="1:15" s="642" customFormat="1" x14ac:dyDescent="0.2">
      <c r="A1558" s="94"/>
      <c r="B1558" s="111"/>
      <c r="C1558" s="119"/>
      <c r="D1558" s="99"/>
      <c r="E1558" s="176"/>
      <c r="F1558" s="1"/>
      <c r="G1558" s="293" t="s">
        <v>157</v>
      </c>
      <c r="H1558" s="89" t="s">
        <v>354</v>
      </c>
      <c r="I1558" s="187">
        <v>1000</v>
      </c>
      <c r="J1558" s="187"/>
      <c r="K1558" s="187">
        <f>SUM(I1558:J1558)</f>
        <v>1000</v>
      </c>
      <c r="L1558" s="27"/>
      <c r="M1558" s="1223"/>
      <c r="N1558" s="61"/>
      <c r="O1558" s="61"/>
    </row>
    <row r="1559" spans="1:15" s="642" customFormat="1" x14ac:dyDescent="0.2">
      <c r="A1559" s="94"/>
      <c r="B1559" s="111"/>
      <c r="C1559" s="119"/>
      <c r="D1559" s="99"/>
      <c r="E1559" s="176"/>
      <c r="F1559" s="1"/>
      <c r="G1559" s="38"/>
      <c r="H1559" s="97" t="s">
        <v>355</v>
      </c>
      <c r="I1559" s="188">
        <f>SUM(I1555:I1556)</f>
        <v>2000</v>
      </c>
      <c r="J1559" s="188"/>
      <c r="K1559" s="188">
        <f>SUM(K1557:K1558)</f>
        <v>2000</v>
      </c>
      <c r="L1559" s="27"/>
      <c r="M1559" s="1223"/>
      <c r="N1559" s="61"/>
      <c r="O1559" s="61"/>
    </row>
    <row r="1560" spans="1:15" s="642" customFormat="1" x14ac:dyDescent="0.2">
      <c r="A1560" s="94"/>
      <c r="B1560" s="111"/>
      <c r="C1560" s="119"/>
      <c r="D1560" s="99"/>
      <c r="E1560" s="176"/>
      <c r="F1560" s="1"/>
      <c r="G1560" s="38"/>
      <c r="H1560" s="508"/>
      <c r="I1560" s="509"/>
      <c r="J1560" s="509"/>
      <c r="K1560" s="1068"/>
      <c r="L1560" s="27"/>
      <c r="M1560" s="1223"/>
      <c r="N1560" s="61"/>
      <c r="O1560" s="61"/>
    </row>
    <row r="1561" spans="1:15" s="642" customFormat="1" ht="22.5" x14ac:dyDescent="0.2">
      <c r="A1561" s="94"/>
      <c r="B1561" s="111"/>
      <c r="C1561" s="119"/>
      <c r="D1561" s="99"/>
      <c r="E1561" s="176"/>
      <c r="F1561" s="1"/>
      <c r="G1561" s="1"/>
      <c r="H1561" s="1095" t="s">
        <v>1103</v>
      </c>
      <c r="I1561" s="158"/>
      <c r="J1561" s="158"/>
      <c r="K1561" s="159"/>
      <c r="L1561" s="27"/>
      <c r="M1561" s="1223"/>
      <c r="N1561" s="61"/>
      <c r="O1561" s="61"/>
    </row>
    <row r="1562" spans="1:15" s="642" customFormat="1" x14ac:dyDescent="0.2">
      <c r="A1562" s="94"/>
      <c r="B1562" s="111"/>
      <c r="C1562" s="119"/>
      <c r="D1562" s="99"/>
      <c r="E1562" s="176"/>
      <c r="F1562" s="284">
        <v>294</v>
      </c>
      <c r="G1562" s="284">
        <v>424</v>
      </c>
      <c r="H1562" s="89" t="s">
        <v>10</v>
      </c>
      <c r="I1562" s="187">
        <v>108000</v>
      </c>
      <c r="J1562" s="187"/>
      <c r="K1562" s="187">
        <f>SUM(I1562:J1562)</f>
        <v>108000</v>
      </c>
      <c r="L1562" s="27"/>
      <c r="M1562" s="1223"/>
      <c r="N1562" s="61"/>
      <c r="O1562" s="61"/>
    </row>
    <row r="1563" spans="1:15" s="642" customFormat="1" x14ac:dyDescent="0.2">
      <c r="A1563" s="94"/>
      <c r="B1563" s="111"/>
      <c r="C1563" s="119"/>
      <c r="D1563" s="99"/>
      <c r="E1563" s="176"/>
      <c r="F1563" s="124">
        <v>295</v>
      </c>
      <c r="G1563" s="154" t="s">
        <v>332</v>
      </c>
      <c r="H1563" s="90" t="s">
        <v>20</v>
      </c>
      <c r="I1563" s="160">
        <v>3483606.84</v>
      </c>
      <c r="J1563" s="161"/>
      <c r="K1563" s="160">
        <f>SUM(I1563:J1563)</f>
        <v>3483606.84</v>
      </c>
      <c r="L1563" s="27"/>
      <c r="M1563" s="1223"/>
      <c r="N1563" s="61"/>
      <c r="O1563" s="61"/>
    </row>
    <row r="1564" spans="1:15" s="642" customFormat="1" x14ac:dyDescent="0.2">
      <c r="A1564" s="94"/>
      <c r="B1564" s="111"/>
      <c r="C1564" s="119"/>
      <c r="D1564" s="99"/>
      <c r="E1564" s="176"/>
      <c r="F1564" s="1"/>
      <c r="G1564" s="38" t="s">
        <v>39</v>
      </c>
      <c r="H1564" s="90" t="s">
        <v>40</v>
      </c>
      <c r="I1564" s="160">
        <f>SUM(I1562:I1563)</f>
        <v>3591606.84</v>
      </c>
      <c r="J1564" s="161"/>
      <c r="K1564" s="160">
        <f>SUM(I1564+J1564)</f>
        <v>3591606.84</v>
      </c>
      <c r="L1564" s="27"/>
      <c r="M1564" s="1223"/>
      <c r="N1564" s="61"/>
      <c r="O1564" s="61"/>
    </row>
    <row r="1565" spans="1:15" s="642" customFormat="1" x14ac:dyDescent="0.2">
      <c r="A1565" s="94"/>
      <c r="B1565" s="111"/>
      <c r="C1565" s="119"/>
      <c r="D1565" s="99"/>
      <c r="E1565" s="176"/>
      <c r="F1565" s="42"/>
      <c r="G1565" s="43"/>
      <c r="H1565" s="97" t="s">
        <v>343</v>
      </c>
      <c r="I1565" s="162">
        <f>SUM(I1564)</f>
        <v>3591606.84</v>
      </c>
      <c r="J1565" s="162"/>
      <c r="K1565" s="162">
        <f>SUM(I1565+J1565)</f>
        <v>3591606.84</v>
      </c>
      <c r="L1565" s="27"/>
      <c r="M1565" s="1223"/>
      <c r="N1565" s="61"/>
      <c r="O1565" s="61"/>
    </row>
    <row r="1566" spans="1:15" s="642" customFormat="1" x14ac:dyDescent="0.2">
      <c r="A1566" s="94"/>
      <c r="B1566" s="111"/>
      <c r="C1566" s="119"/>
      <c r="D1566" s="99"/>
      <c r="E1566" s="176"/>
      <c r="F1566" s="1"/>
      <c r="G1566" s="38"/>
      <c r="H1566" s="29"/>
      <c r="I1566" s="60"/>
      <c r="J1566" s="60"/>
      <c r="K1566" s="200"/>
      <c r="L1566" s="27"/>
      <c r="M1566" s="1223"/>
      <c r="N1566" s="61"/>
      <c r="O1566" s="61"/>
    </row>
    <row r="1567" spans="1:15" s="642" customFormat="1" ht="22.5" x14ac:dyDescent="0.2">
      <c r="A1567" s="94"/>
      <c r="B1567" s="111"/>
      <c r="C1567" s="119"/>
      <c r="D1567" s="99"/>
      <c r="E1567" s="176"/>
      <c r="F1567" s="1"/>
      <c r="G1567" s="1"/>
      <c r="H1567" s="1095" t="s">
        <v>952</v>
      </c>
      <c r="I1567" s="158"/>
      <c r="J1567" s="158"/>
      <c r="K1567" s="159"/>
      <c r="L1567" s="27"/>
      <c r="M1567" s="1223"/>
      <c r="N1567" s="61"/>
      <c r="O1567" s="61"/>
    </row>
    <row r="1568" spans="1:15" s="642" customFormat="1" x14ac:dyDescent="0.2">
      <c r="A1568" s="94"/>
      <c r="B1568" s="111"/>
      <c r="C1568" s="119"/>
      <c r="D1568" s="99"/>
      <c r="E1568" s="176"/>
      <c r="F1568" s="124" t="s">
        <v>953</v>
      </c>
      <c r="G1568" s="154" t="s">
        <v>332</v>
      </c>
      <c r="H1568" s="90" t="s">
        <v>20</v>
      </c>
      <c r="I1568" s="160">
        <v>4000000</v>
      </c>
      <c r="J1568" s="161"/>
      <c r="K1568" s="160">
        <f>SUM(I1568:J1568)</f>
        <v>4000000</v>
      </c>
      <c r="L1568" s="27"/>
      <c r="M1568" s="1223"/>
      <c r="N1568" s="61"/>
      <c r="O1568" s="61"/>
    </row>
    <row r="1569" spans="1:15" s="642" customFormat="1" x14ac:dyDescent="0.2">
      <c r="A1569" s="94"/>
      <c r="B1569" s="111"/>
      <c r="C1569" s="119"/>
      <c r="D1569" s="99"/>
      <c r="E1569" s="176"/>
      <c r="F1569" s="1"/>
      <c r="G1569" s="38" t="s">
        <v>39</v>
      </c>
      <c r="H1569" s="90" t="s">
        <v>40</v>
      </c>
      <c r="I1569" s="160">
        <f>SUM(I1568:I1568)</f>
        <v>4000000</v>
      </c>
      <c r="J1569" s="161"/>
      <c r="K1569" s="160">
        <f>SUM(I1569+J1569)</f>
        <v>4000000</v>
      </c>
      <c r="L1569" s="27"/>
      <c r="M1569" s="1223"/>
      <c r="N1569" s="61"/>
      <c r="O1569" s="61"/>
    </row>
    <row r="1570" spans="1:15" s="642" customFormat="1" x14ac:dyDescent="0.2">
      <c r="A1570" s="94"/>
      <c r="B1570" s="111"/>
      <c r="C1570" s="119"/>
      <c r="D1570" s="99"/>
      <c r="E1570" s="176"/>
      <c r="F1570" s="42"/>
      <c r="G1570" s="43"/>
      <c r="H1570" s="97" t="s">
        <v>1014</v>
      </c>
      <c r="I1570" s="162">
        <f>SUM(I1569)</f>
        <v>4000000</v>
      </c>
      <c r="J1570" s="162"/>
      <c r="K1570" s="162">
        <f>SUM(I1570+J1570)</f>
        <v>4000000</v>
      </c>
      <c r="L1570" s="27"/>
      <c r="M1570" s="1223"/>
      <c r="N1570" s="61"/>
      <c r="O1570" s="61"/>
    </row>
    <row r="1571" spans="1:15" x14ac:dyDescent="0.2">
      <c r="A1571" s="106"/>
      <c r="B1571" s="113"/>
      <c r="C1571" s="122"/>
      <c r="D1571" s="103"/>
      <c r="E1571" s="250"/>
      <c r="F1571" s="46"/>
      <c r="G1571" s="64"/>
      <c r="H1571" s="70"/>
      <c r="I1571" s="66"/>
      <c r="J1571" s="66"/>
      <c r="K1571" s="203"/>
    </row>
    <row r="1572" spans="1:15" ht="22.5" x14ac:dyDescent="0.2">
      <c r="A1572" s="106"/>
      <c r="B1572" s="113"/>
      <c r="C1572" s="122"/>
      <c r="D1572" s="103"/>
      <c r="E1572" s="250"/>
      <c r="F1572" s="1"/>
      <c r="G1572" s="38"/>
      <c r="H1572" s="1095" t="s">
        <v>855</v>
      </c>
      <c r="I1572" s="286"/>
      <c r="J1572" s="158"/>
      <c r="K1572" s="159"/>
    </row>
    <row r="1573" spans="1:15" x14ac:dyDescent="0.2">
      <c r="A1573" s="106"/>
      <c r="B1573" s="113"/>
      <c r="C1573" s="122"/>
      <c r="D1573" s="103"/>
      <c r="E1573" s="250"/>
      <c r="F1573" s="95">
        <v>296</v>
      </c>
      <c r="G1573" s="154" t="s">
        <v>51</v>
      </c>
      <c r="H1573" s="285" t="s">
        <v>10</v>
      </c>
      <c r="I1573" s="241">
        <v>1000</v>
      </c>
      <c r="J1573" s="187"/>
      <c r="K1573" s="187">
        <f>SUM(I1573:J1573)</f>
        <v>1000</v>
      </c>
    </row>
    <row r="1574" spans="1:15" x14ac:dyDescent="0.2">
      <c r="A1574" s="107"/>
      <c r="B1574" s="114"/>
      <c r="C1574" s="123"/>
      <c r="D1574" s="104"/>
      <c r="E1574" s="253"/>
      <c r="F1574" s="124">
        <v>297</v>
      </c>
      <c r="G1574" s="154" t="s">
        <v>332</v>
      </c>
      <c r="H1574" s="90" t="s">
        <v>20</v>
      </c>
      <c r="I1574" s="241">
        <v>1000</v>
      </c>
      <c r="J1574" s="161"/>
      <c r="K1574" s="187">
        <f>SUM(I1574:J1574)</f>
        <v>1000</v>
      </c>
    </row>
    <row r="1575" spans="1:15" x14ac:dyDescent="0.2">
      <c r="A1575" s="106"/>
      <c r="B1575" s="113"/>
      <c r="C1575" s="122"/>
      <c r="D1575" s="103"/>
      <c r="E1575" s="250"/>
      <c r="F1575" s="1"/>
      <c r="G1575" s="38" t="s">
        <v>39</v>
      </c>
      <c r="H1575" s="93" t="s">
        <v>40</v>
      </c>
      <c r="I1575" s="528">
        <f>SUM(I1573:I1574)</f>
        <v>2000</v>
      </c>
      <c r="J1575" s="161"/>
      <c r="K1575" s="187">
        <f>SUM(I1575:J1575)</f>
        <v>2000</v>
      </c>
    </row>
    <row r="1576" spans="1:15" x14ac:dyDescent="0.2">
      <c r="A1576" s="107"/>
      <c r="B1576" s="114"/>
      <c r="C1576" s="123"/>
      <c r="D1576" s="104"/>
      <c r="E1576" s="253"/>
      <c r="F1576" s="42"/>
      <c r="G1576" s="43"/>
      <c r="H1576" s="97" t="s">
        <v>344</v>
      </c>
      <c r="I1576" s="179">
        <f>SUM(I1575)</f>
        <v>2000</v>
      </c>
      <c r="J1576" s="162"/>
      <c r="K1576" s="162">
        <f>SUM(K1575)</f>
        <v>2000</v>
      </c>
    </row>
    <row r="1577" spans="1:15" x14ac:dyDescent="0.2">
      <c r="A1577" s="106"/>
      <c r="B1577" s="113"/>
      <c r="C1577" s="122"/>
      <c r="D1577" s="103"/>
      <c r="E1577" s="250"/>
      <c r="F1577" s="46"/>
      <c r="G1577" s="64"/>
      <c r="H1577" s="70"/>
      <c r="I1577" s="69"/>
      <c r="J1577" s="66"/>
      <c r="K1577" s="203"/>
    </row>
    <row r="1578" spans="1:15" ht="22.5" x14ac:dyDescent="0.2">
      <c r="A1578" s="106"/>
      <c r="B1578" s="113"/>
      <c r="C1578" s="122"/>
      <c r="D1578" s="103"/>
      <c r="E1578" s="250"/>
      <c r="F1578" s="1"/>
      <c r="G1578" s="38"/>
      <c r="H1578" s="1095" t="s">
        <v>856</v>
      </c>
      <c r="I1578" s="286"/>
      <c r="J1578" s="158"/>
      <c r="K1578" s="159"/>
    </row>
    <row r="1579" spans="1:15" x14ac:dyDescent="0.2">
      <c r="A1579" s="106"/>
      <c r="B1579" s="113"/>
      <c r="C1579" s="122"/>
      <c r="D1579" s="103"/>
      <c r="E1579" s="250"/>
      <c r="F1579" s="284">
        <v>298</v>
      </c>
      <c r="G1579" s="193" t="s">
        <v>51</v>
      </c>
      <c r="H1579" s="285" t="s">
        <v>10</v>
      </c>
      <c r="I1579" s="241">
        <v>1000</v>
      </c>
      <c r="J1579" s="187"/>
      <c r="K1579" s="187">
        <f>SUM(I1579:J1579)</f>
        <v>1000</v>
      </c>
    </row>
    <row r="1580" spans="1:15" x14ac:dyDescent="0.2">
      <c r="A1580" s="106"/>
      <c r="B1580" s="113"/>
      <c r="C1580" s="122"/>
      <c r="D1580" s="103"/>
      <c r="E1580" s="250"/>
      <c r="F1580" s="124">
        <v>299</v>
      </c>
      <c r="G1580" s="154" t="s">
        <v>332</v>
      </c>
      <c r="H1580" s="90" t="s">
        <v>20</v>
      </c>
      <c r="I1580" s="241">
        <v>1000</v>
      </c>
      <c r="J1580" s="161"/>
      <c r="K1580" s="187">
        <f>SUM(I1580:J1580)</f>
        <v>1000</v>
      </c>
    </row>
    <row r="1581" spans="1:15" x14ac:dyDescent="0.2">
      <c r="A1581" s="106"/>
      <c r="B1581" s="113"/>
      <c r="C1581" s="122"/>
      <c r="D1581" s="103"/>
      <c r="E1581" s="250"/>
      <c r="F1581" s="1"/>
      <c r="G1581" s="38" t="s">
        <v>39</v>
      </c>
      <c r="H1581" s="90" t="s">
        <v>40</v>
      </c>
      <c r="I1581" s="241">
        <f>SUM(I1579:I1580)</f>
        <v>2000</v>
      </c>
      <c r="J1581" s="161"/>
      <c r="K1581" s="187">
        <f>SUM(I1581:J1581)</f>
        <v>2000</v>
      </c>
    </row>
    <row r="1582" spans="1:15" x14ac:dyDescent="0.2">
      <c r="A1582" s="106"/>
      <c r="B1582" s="113"/>
      <c r="C1582" s="122"/>
      <c r="D1582" s="103"/>
      <c r="E1582" s="250"/>
      <c r="F1582" s="42"/>
      <c r="G1582" s="43"/>
      <c r="H1582" s="97" t="s">
        <v>345</v>
      </c>
      <c r="I1582" s="179">
        <f>SUM(I1581)</f>
        <v>2000</v>
      </c>
      <c r="J1582" s="162"/>
      <c r="K1582" s="162">
        <f>SUM(K1581)</f>
        <v>2000</v>
      </c>
    </row>
    <row r="1583" spans="1:15" x14ac:dyDescent="0.2">
      <c r="A1583" s="106"/>
      <c r="B1583" s="113"/>
      <c r="C1583" s="122"/>
      <c r="D1583" s="103"/>
      <c r="E1583" s="250"/>
      <c r="F1583" s="46"/>
      <c r="G1583" s="64"/>
      <c r="H1583" s="55"/>
      <c r="I1583" s="69"/>
      <c r="J1583" s="63"/>
      <c r="K1583" s="203"/>
    </row>
    <row r="1584" spans="1:15" s="642" customFormat="1" ht="15" customHeight="1" x14ac:dyDescent="0.2">
      <c r="A1584" s="94"/>
      <c r="B1584" s="111"/>
      <c r="C1584" s="119"/>
      <c r="D1584" s="99"/>
      <c r="E1584" s="176"/>
      <c r="F1584" s="1"/>
      <c r="G1584" s="38"/>
      <c r="H1584" s="1093" t="s">
        <v>857</v>
      </c>
      <c r="I1584" s="289"/>
      <c r="J1584" s="156"/>
      <c r="K1584" s="157"/>
      <c r="L1584" s="27"/>
      <c r="M1584" s="1223"/>
      <c r="N1584" s="61"/>
      <c r="O1584" s="61"/>
    </row>
    <row r="1585" spans="1:15" s="642" customFormat="1" x14ac:dyDescent="0.2">
      <c r="A1585" s="94"/>
      <c r="B1585" s="111"/>
      <c r="C1585" s="119"/>
      <c r="D1585" s="99"/>
      <c r="E1585" s="176"/>
      <c r="F1585" s="95">
        <v>300</v>
      </c>
      <c r="G1585" s="154" t="s">
        <v>51</v>
      </c>
      <c r="H1585" s="285" t="s">
        <v>10</v>
      </c>
      <c r="I1585" s="241">
        <v>1000</v>
      </c>
      <c r="J1585" s="187"/>
      <c r="K1585" s="187">
        <f>SUM(I1585:J1585)</f>
        <v>1000</v>
      </c>
      <c r="L1585" s="27"/>
      <c r="M1585" s="1223"/>
      <c r="N1585" s="61"/>
      <c r="O1585" s="61"/>
    </row>
    <row r="1586" spans="1:15" s="642" customFormat="1" x14ac:dyDescent="0.2">
      <c r="A1586" s="1096"/>
      <c r="B1586" s="781"/>
      <c r="C1586" s="781"/>
      <c r="D1586" s="780"/>
      <c r="E1586" s="177"/>
      <c r="F1586" s="124">
        <v>301</v>
      </c>
      <c r="G1586" s="154" t="s">
        <v>332</v>
      </c>
      <c r="H1586" s="90" t="s">
        <v>20</v>
      </c>
      <c r="I1586" s="241">
        <v>1000</v>
      </c>
      <c r="J1586" s="160"/>
      <c r="K1586" s="187">
        <f>SUM(I1586:J1586)</f>
        <v>1000</v>
      </c>
      <c r="L1586" s="952"/>
      <c r="M1586" s="1223"/>
      <c r="N1586" s="61"/>
      <c r="O1586" s="61"/>
    </row>
    <row r="1587" spans="1:15" s="642" customFormat="1" x14ac:dyDescent="0.2">
      <c r="A1587" s="94"/>
      <c r="B1587" s="111"/>
      <c r="C1587" s="119"/>
      <c r="D1587" s="99"/>
      <c r="E1587" s="176"/>
      <c r="F1587" s="1"/>
      <c r="G1587" s="38" t="s">
        <v>39</v>
      </c>
      <c r="H1587" s="90" t="s">
        <v>40</v>
      </c>
      <c r="I1587" s="241">
        <v>1000</v>
      </c>
      <c r="J1587" s="161"/>
      <c r="K1587" s="187">
        <f>SUM(I1587:J1587)</f>
        <v>1000</v>
      </c>
      <c r="L1587" s="27"/>
      <c r="M1587" s="1223"/>
      <c r="N1587" s="61"/>
      <c r="O1587" s="61"/>
    </row>
    <row r="1588" spans="1:15" s="642" customFormat="1" x14ac:dyDescent="0.2">
      <c r="A1588" s="94"/>
      <c r="B1588" s="111"/>
      <c r="C1588" s="119"/>
      <c r="D1588" s="99"/>
      <c r="E1588" s="176"/>
      <c r="F1588" s="1"/>
      <c r="G1588" s="38" t="s">
        <v>157</v>
      </c>
      <c r="H1588" s="90" t="s">
        <v>517</v>
      </c>
      <c r="I1588" s="241">
        <v>1000</v>
      </c>
      <c r="J1588" s="161"/>
      <c r="K1588" s="187">
        <f>SUM(I1588:J1588)</f>
        <v>1000</v>
      </c>
      <c r="L1588" s="27"/>
      <c r="M1588" s="1223"/>
      <c r="N1588" s="61"/>
      <c r="O1588" s="61"/>
    </row>
    <row r="1589" spans="1:15" s="642" customFormat="1" x14ac:dyDescent="0.2">
      <c r="A1589" s="583"/>
      <c r="B1589" s="781"/>
      <c r="C1589" s="121"/>
      <c r="D1589" s="101"/>
      <c r="E1589" s="177"/>
      <c r="F1589" s="42"/>
      <c r="G1589" s="43"/>
      <c r="H1589" s="97" t="s">
        <v>346</v>
      </c>
      <c r="I1589" s="179">
        <f>SUM(I1587:I1588)</f>
        <v>2000</v>
      </c>
      <c r="J1589" s="162"/>
      <c r="K1589" s="162">
        <f>SUM(I1589:J1589)</f>
        <v>2000</v>
      </c>
      <c r="L1589" s="27"/>
      <c r="M1589" s="1223"/>
      <c r="N1589" s="61"/>
      <c r="O1589" s="61"/>
    </row>
    <row r="1590" spans="1:15" s="953" customFormat="1" ht="15" x14ac:dyDescent="0.25">
      <c r="A1590" s="94"/>
      <c r="B1590" s="111"/>
      <c r="C1590" s="119"/>
      <c r="D1590" s="99"/>
      <c r="E1590" s="176"/>
      <c r="F1590" s="1"/>
      <c r="G1590" s="38"/>
      <c r="H1590" s="44"/>
      <c r="I1590" s="481"/>
      <c r="J1590" s="47"/>
      <c r="K1590" s="200"/>
      <c r="L1590" s="27"/>
      <c r="M1590" s="1223"/>
      <c r="N1590" s="885"/>
      <c r="O1590" s="885"/>
    </row>
    <row r="1591" spans="1:15" s="642" customFormat="1" ht="22.5" x14ac:dyDescent="0.2">
      <c r="A1591" s="94"/>
      <c r="B1591" s="111"/>
      <c r="C1591" s="119"/>
      <c r="D1591" s="99"/>
      <c r="E1591" s="176"/>
      <c r="F1591" s="1"/>
      <c r="G1591" s="38"/>
      <c r="H1591" s="1093" t="s">
        <v>858</v>
      </c>
      <c r="I1591" s="289"/>
      <c r="J1591" s="156"/>
      <c r="K1591" s="157"/>
      <c r="L1591" s="27"/>
      <c r="M1591" s="1223"/>
      <c r="N1591" s="61"/>
      <c r="O1591" s="61"/>
    </row>
    <row r="1592" spans="1:15" s="642" customFormat="1" x14ac:dyDescent="0.2">
      <c r="A1592" s="583"/>
      <c r="B1592" s="781"/>
      <c r="C1592" s="121"/>
      <c r="D1592" s="101"/>
      <c r="E1592" s="177"/>
      <c r="F1592" s="124">
        <v>302</v>
      </c>
      <c r="G1592" s="154" t="s">
        <v>51</v>
      </c>
      <c r="H1592" s="90" t="s">
        <v>10</v>
      </c>
      <c r="I1592" s="241">
        <v>4000000</v>
      </c>
      <c r="J1592" s="161"/>
      <c r="K1592" s="187">
        <f>SUM(I1592:J1592)</f>
        <v>4000000</v>
      </c>
      <c r="L1592" s="27"/>
      <c r="M1592" s="1223"/>
      <c r="N1592" s="61"/>
      <c r="O1592" s="61"/>
    </row>
    <row r="1593" spans="1:15" s="642" customFormat="1" x14ac:dyDescent="0.2">
      <c r="A1593" s="94"/>
      <c r="B1593" s="111"/>
      <c r="C1593" s="119"/>
      <c r="D1593" s="99"/>
      <c r="E1593" s="176"/>
      <c r="F1593" s="1"/>
      <c r="G1593" s="38" t="s">
        <v>39</v>
      </c>
      <c r="H1593" s="90" t="s">
        <v>40</v>
      </c>
      <c r="I1593" s="241">
        <f>SUM(I1592)</f>
        <v>4000000</v>
      </c>
      <c r="J1593" s="161"/>
      <c r="K1593" s="187">
        <f>SUM(I1593:J1593)</f>
        <v>4000000</v>
      </c>
      <c r="L1593" s="27"/>
      <c r="M1593" s="1223"/>
      <c r="N1593" s="61"/>
      <c r="O1593" s="61"/>
    </row>
    <row r="1594" spans="1:15" s="642" customFormat="1" x14ac:dyDescent="0.2">
      <c r="A1594" s="583"/>
      <c r="B1594" s="781"/>
      <c r="C1594" s="121"/>
      <c r="D1594" s="101"/>
      <c r="E1594" s="177"/>
      <c r="F1594" s="42"/>
      <c r="G1594" s="43"/>
      <c r="H1594" s="97" t="s">
        <v>347</v>
      </c>
      <c r="I1594" s="179">
        <f>SUM(I1593)</f>
        <v>4000000</v>
      </c>
      <c r="J1594" s="162"/>
      <c r="K1594" s="162">
        <f>SUM(K1593)</f>
        <v>4000000</v>
      </c>
      <c r="L1594" s="27"/>
      <c r="M1594" s="1223"/>
      <c r="N1594" s="61"/>
      <c r="O1594" s="61"/>
    </row>
    <row r="1595" spans="1:15" x14ac:dyDescent="0.2">
      <c r="A1595" s="106"/>
      <c r="B1595" s="113"/>
      <c r="C1595" s="122"/>
      <c r="D1595" s="103"/>
      <c r="E1595" s="250"/>
      <c r="F1595" s="46"/>
      <c r="G1595" s="64"/>
      <c r="H1595" s="70"/>
      <c r="I1595" s="69"/>
      <c r="J1595" s="66"/>
      <c r="K1595" s="203"/>
    </row>
    <row r="1596" spans="1:15" s="642" customFormat="1" ht="22.5" x14ac:dyDescent="0.2">
      <c r="A1596" s="94"/>
      <c r="B1596" s="111"/>
      <c r="C1596" s="119"/>
      <c r="D1596" s="99"/>
      <c r="E1596" s="176"/>
      <c r="F1596" s="1"/>
      <c r="G1596" s="38"/>
      <c r="H1596" s="1093" t="s">
        <v>1046</v>
      </c>
      <c r="I1596" s="289"/>
      <c r="J1596" s="156"/>
      <c r="K1596" s="157"/>
      <c r="L1596" s="27"/>
      <c r="M1596" s="1223"/>
      <c r="N1596" s="61"/>
      <c r="O1596" s="61"/>
    </row>
    <row r="1597" spans="1:15" s="642" customFormat="1" x14ac:dyDescent="0.2">
      <c r="A1597" s="94"/>
      <c r="B1597" s="111"/>
      <c r="C1597" s="119"/>
      <c r="D1597" s="99"/>
      <c r="E1597" s="176"/>
      <c r="F1597" s="124" t="s">
        <v>1045</v>
      </c>
      <c r="G1597" s="154" t="s">
        <v>51</v>
      </c>
      <c r="H1597" s="90" t="s">
        <v>10</v>
      </c>
      <c r="I1597" s="241">
        <v>600000</v>
      </c>
      <c r="J1597" s="161"/>
      <c r="K1597" s="187">
        <f>SUM(I1597:J1597)</f>
        <v>600000</v>
      </c>
      <c r="L1597" s="27"/>
      <c r="M1597" s="1223"/>
      <c r="N1597" s="61"/>
      <c r="O1597" s="61"/>
    </row>
    <row r="1598" spans="1:15" s="642" customFormat="1" x14ac:dyDescent="0.2">
      <c r="A1598" s="94"/>
      <c r="B1598" s="111"/>
      <c r="C1598" s="119"/>
      <c r="D1598" s="99"/>
      <c r="E1598" s="176"/>
      <c r="F1598" s="1"/>
      <c r="G1598" s="38" t="s">
        <v>39</v>
      </c>
      <c r="H1598" s="90" t="s">
        <v>40</v>
      </c>
      <c r="I1598" s="241">
        <f>SUM(I1597)</f>
        <v>600000</v>
      </c>
      <c r="J1598" s="161"/>
      <c r="K1598" s="187">
        <f>SUM(I1598:J1598)</f>
        <v>600000</v>
      </c>
      <c r="L1598" s="27"/>
      <c r="M1598" s="1223"/>
      <c r="N1598" s="61"/>
      <c r="O1598" s="61"/>
    </row>
    <row r="1599" spans="1:15" s="642" customFormat="1" x14ac:dyDescent="0.2">
      <c r="A1599" s="94"/>
      <c r="B1599" s="111"/>
      <c r="C1599" s="119"/>
      <c r="D1599" s="99"/>
      <c r="E1599" s="176"/>
      <c r="F1599" s="42"/>
      <c r="G1599" s="43"/>
      <c r="H1599" s="97" t="s">
        <v>1071</v>
      </c>
      <c r="I1599" s="179">
        <f>SUM(I1598)</f>
        <v>600000</v>
      </c>
      <c r="J1599" s="162"/>
      <c r="K1599" s="162">
        <f>SUM(K1598)</f>
        <v>600000</v>
      </c>
      <c r="L1599" s="27"/>
      <c r="M1599" s="1223"/>
      <c r="N1599" s="61"/>
      <c r="O1599" s="61"/>
    </row>
    <row r="1600" spans="1:15" s="642" customFormat="1" x14ac:dyDescent="0.2">
      <c r="A1600" s="94"/>
      <c r="B1600" s="111"/>
      <c r="C1600" s="119"/>
      <c r="D1600" s="99"/>
      <c r="E1600" s="176"/>
      <c r="F1600" s="1"/>
      <c r="G1600" s="38"/>
      <c r="H1600" s="44"/>
      <c r="I1600" s="481"/>
      <c r="J1600" s="47"/>
      <c r="K1600" s="200"/>
      <c r="L1600" s="27"/>
      <c r="M1600" s="1223"/>
      <c r="N1600" s="61"/>
      <c r="O1600" s="61"/>
    </row>
    <row r="1601" spans="1:15" s="642" customFormat="1" ht="33.75" x14ac:dyDescent="0.2">
      <c r="A1601" s="94"/>
      <c r="B1601" s="111"/>
      <c r="C1601" s="119"/>
      <c r="D1601" s="99"/>
      <c r="E1601" s="176"/>
      <c r="F1601" s="1"/>
      <c r="G1601" s="1"/>
      <c r="H1601" s="1093" t="s">
        <v>859</v>
      </c>
      <c r="I1601" s="289"/>
      <c r="J1601" s="156"/>
      <c r="K1601" s="157"/>
      <c r="L1601" s="27"/>
      <c r="M1601" s="1223"/>
      <c r="N1601" s="61"/>
      <c r="O1601" s="61"/>
    </row>
    <row r="1602" spans="1:15" s="642" customFormat="1" x14ac:dyDescent="0.2">
      <c r="A1602" s="583"/>
      <c r="B1602" s="781"/>
      <c r="C1602" s="121"/>
      <c r="D1602" s="101"/>
      <c r="E1602" s="177"/>
      <c r="F1602" s="124">
        <v>303</v>
      </c>
      <c r="G1602" s="154" t="s">
        <v>332</v>
      </c>
      <c r="H1602" s="90" t="s">
        <v>20</v>
      </c>
      <c r="I1602" s="241">
        <v>500000</v>
      </c>
      <c r="J1602" s="161"/>
      <c r="K1602" s="187">
        <f>SUM(I1602:J1602)</f>
        <v>500000</v>
      </c>
      <c r="L1602" s="27"/>
      <c r="M1602" s="1223"/>
      <c r="N1602" s="61"/>
      <c r="O1602" s="61"/>
    </row>
    <row r="1603" spans="1:15" s="642" customFormat="1" x14ac:dyDescent="0.2">
      <c r="A1603" s="94"/>
      <c r="B1603" s="111"/>
      <c r="C1603" s="119"/>
      <c r="D1603" s="99"/>
      <c r="E1603" s="176"/>
      <c r="F1603" s="1"/>
      <c r="G1603" s="38" t="s">
        <v>39</v>
      </c>
      <c r="H1603" s="90" t="s">
        <v>40</v>
      </c>
      <c r="I1603" s="241">
        <f>SUM(I1602)</f>
        <v>500000</v>
      </c>
      <c r="J1603" s="161"/>
      <c r="K1603" s="187">
        <f>SUM(I1603:J1603)</f>
        <v>500000</v>
      </c>
      <c r="L1603" s="27"/>
      <c r="M1603" s="1223"/>
      <c r="N1603" s="61"/>
      <c r="O1603" s="61"/>
    </row>
    <row r="1604" spans="1:15" s="642" customFormat="1" x14ac:dyDescent="0.2">
      <c r="A1604" s="583"/>
      <c r="B1604" s="781"/>
      <c r="C1604" s="121"/>
      <c r="D1604" s="101"/>
      <c r="E1604" s="177"/>
      <c r="F1604" s="42"/>
      <c r="G1604" s="43"/>
      <c r="H1604" s="97" t="s">
        <v>348</v>
      </c>
      <c r="I1604" s="179">
        <f>SUM(I1603)</f>
        <v>500000</v>
      </c>
      <c r="J1604" s="162"/>
      <c r="K1604" s="162">
        <f>SUM(I1604:J1604)</f>
        <v>500000</v>
      </c>
      <c r="L1604" s="27"/>
      <c r="M1604" s="1223"/>
      <c r="N1604" s="61"/>
      <c r="O1604" s="61"/>
    </row>
    <row r="1605" spans="1:15" s="642" customFormat="1" x14ac:dyDescent="0.2">
      <c r="A1605" s="94"/>
      <c r="B1605" s="111"/>
      <c r="C1605" s="119"/>
      <c r="D1605" s="99"/>
      <c r="E1605" s="176"/>
      <c r="F1605" s="1"/>
      <c r="G1605" s="38"/>
      <c r="H1605" s="44"/>
      <c r="I1605" s="481"/>
      <c r="J1605" s="47"/>
      <c r="K1605" s="200"/>
      <c r="L1605" s="27"/>
      <c r="M1605" s="1223"/>
      <c r="N1605" s="61"/>
      <c r="O1605" s="61"/>
    </row>
    <row r="1606" spans="1:15" s="642" customFormat="1" ht="22.5" x14ac:dyDescent="0.2">
      <c r="A1606" s="94"/>
      <c r="B1606" s="111"/>
      <c r="C1606" s="119"/>
      <c r="D1606" s="99"/>
      <c r="E1606" s="176"/>
      <c r="F1606" s="1"/>
      <c r="G1606" s="1"/>
      <c r="H1606" s="1093" t="s">
        <v>860</v>
      </c>
      <c r="I1606" s="289"/>
      <c r="J1606" s="156"/>
      <c r="K1606" s="157"/>
      <c r="L1606" s="27"/>
      <c r="M1606" s="1223"/>
      <c r="N1606" s="61"/>
      <c r="O1606" s="61"/>
    </row>
    <row r="1607" spans="1:15" s="642" customFormat="1" x14ac:dyDescent="0.2">
      <c r="A1607" s="583"/>
      <c r="B1607" s="781"/>
      <c r="C1607" s="121"/>
      <c r="D1607" s="101"/>
      <c r="E1607" s="177"/>
      <c r="F1607" s="124">
        <v>304</v>
      </c>
      <c r="G1607" s="154" t="s">
        <v>332</v>
      </c>
      <c r="H1607" s="90" t="s">
        <v>20</v>
      </c>
      <c r="I1607" s="241">
        <v>1000</v>
      </c>
      <c r="J1607" s="161"/>
      <c r="K1607" s="187">
        <f>SUM(I1607:J1607)</f>
        <v>1000</v>
      </c>
      <c r="L1607" s="27"/>
      <c r="M1607" s="1223"/>
      <c r="N1607" s="61"/>
      <c r="O1607" s="61"/>
    </row>
    <row r="1608" spans="1:15" s="642" customFormat="1" x14ac:dyDescent="0.2">
      <c r="A1608" s="94"/>
      <c r="B1608" s="111"/>
      <c r="C1608" s="119"/>
      <c r="D1608" s="99"/>
      <c r="E1608" s="176"/>
      <c r="F1608" s="1"/>
      <c r="G1608" s="38" t="s">
        <v>39</v>
      </c>
      <c r="H1608" s="90" t="s">
        <v>40</v>
      </c>
      <c r="I1608" s="241">
        <f>SUM(I1607)</f>
        <v>1000</v>
      </c>
      <c r="J1608" s="161"/>
      <c r="K1608" s="187">
        <f>SUM(I1608:J1608)</f>
        <v>1000</v>
      </c>
      <c r="L1608" s="27"/>
      <c r="M1608" s="1223"/>
      <c r="N1608" s="61"/>
      <c r="O1608" s="61"/>
    </row>
    <row r="1609" spans="1:15" s="642" customFormat="1" x14ac:dyDescent="0.2">
      <c r="A1609" s="583"/>
      <c r="B1609" s="781"/>
      <c r="C1609" s="121"/>
      <c r="D1609" s="101"/>
      <c r="E1609" s="177"/>
      <c r="F1609" s="42"/>
      <c r="G1609" s="43"/>
      <c r="H1609" s="97" t="s">
        <v>352</v>
      </c>
      <c r="I1609" s="179">
        <f>SUM(I1608)</f>
        <v>1000</v>
      </c>
      <c r="J1609" s="162"/>
      <c r="K1609" s="162">
        <f>SUM(I1609:J1609)</f>
        <v>1000</v>
      </c>
      <c r="L1609" s="27"/>
      <c r="M1609" s="1223"/>
      <c r="N1609" s="61"/>
      <c r="O1609" s="61"/>
    </row>
    <row r="1610" spans="1:15" x14ac:dyDescent="0.2">
      <c r="A1610" s="106"/>
      <c r="B1610" s="113"/>
      <c r="C1610" s="122"/>
      <c r="D1610" s="103"/>
      <c r="E1610" s="250"/>
      <c r="F1610" s="46"/>
      <c r="G1610" s="64"/>
      <c r="H1610" s="70"/>
      <c r="I1610" s="231"/>
      <c r="J1610" s="66"/>
      <c r="K1610" s="203"/>
    </row>
    <row r="1611" spans="1:15" s="642" customFormat="1" ht="33.75" x14ac:dyDescent="0.2">
      <c r="A1611" s="94"/>
      <c r="B1611" s="111"/>
      <c r="C1611" s="119"/>
      <c r="D1611" s="99"/>
      <c r="E1611" s="176"/>
      <c r="F1611" s="1"/>
      <c r="G1611" s="1"/>
      <c r="H1611" s="1093" t="s">
        <v>1068</v>
      </c>
      <c r="I1611" s="289"/>
      <c r="J1611" s="156"/>
      <c r="K1611" s="157"/>
      <c r="L1611" s="27"/>
      <c r="M1611" s="1223"/>
      <c r="N1611" s="61"/>
      <c r="O1611" s="61"/>
    </row>
    <row r="1612" spans="1:15" s="642" customFormat="1" x14ac:dyDescent="0.2">
      <c r="A1612" s="94"/>
      <c r="B1612" s="111"/>
      <c r="C1612" s="119"/>
      <c r="D1612" s="99"/>
      <c r="E1612" s="176"/>
      <c r="F1612" s="124" t="s">
        <v>1044</v>
      </c>
      <c r="G1612" s="154" t="s">
        <v>332</v>
      </c>
      <c r="H1612" s="90" t="s">
        <v>20</v>
      </c>
      <c r="I1612" s="241">
        <v>1000</v>
      </c>
      <c r="J1612" s="161"/>
      <c r="K1612" s="187">
        <f>SUM(I1612:J1612)</f>
        <v>1000</v>
      </c>
      <c r="L1612" s="26"/>
      <c r="M1612" s="1223"/>
      <c r="N1612" s="61"/>
      <c r="O1612" s="61"/>
    </row>
    <row r="1613" spans="1:15" s="642" customFormat="1" x14ac:dyDescent="0.2">
      <c r="A1613" s="94"/>
      <c r="B1613" s="111"/>
      <c r="C1613" s="119"/>
      <c r="D1613" s="99"/>
      <c r="E1613" s="176"/>
      <c r="F1613" s="1"/>
      <c r="G1613" s="38" t="s">
        <v>39</v>
      </c>
      <c r="H1613" s="90" t="s">
        <v>40</v>
      </c>
      <c r="I1613" s="241">
        <f>SUM(I1612)</f>
        <v>1000</v>
      </c>
      <c r="J1613" s="161"/>
      <c r="K1613" s="187">
        <f>SUM(I1613:J1613)</f>
        <v>1000</v>
      </c>
      <c r="L1613" s="27"/>
      <c r="M1613" s="1223"/>
      <c r="N1613" s="61"/>
      <c r="O1613" s="61"/>
    </row>
    <row r="1614" spans="1:15" s="642" customFormat="1" x14ac:dyDescent="0.2">
      <c r="A1614" s="94"/>
      <c r="B1614" s="111"/>
      <c r="C1614" s="119"/>
      <c r="D1614" s="99"/>
      <c r="E1614" s="176"/>
      <c r="F1614" s="42"/>
      <c r="G1614" s="43"/>
      <c r="H1614" s="97" t="s">
        <v>1072</v>
      </c>
      <c r="I1614" s="179">
        <f>SUM(I1613)</f>
        <v>1000</v>
      </c>
      <c r="J1614" s="162"/>
      <c r="K1614" s="162">
        <f>SUM(I1614:J1614)</f>
        <v>1000</v>
      </c>
      <c r="L1614" s="27"/>
      <c r="M1614" s="1223"/>
      <c r="N1614" s="61"/>
      <c r="O1614" s="61"/>
    </row>
    <row r="1615" spans="1:15" s="642" customFormat="1" x14ac:dyDescent="0.2">
      <c r="A1615" s="94"/>
      <c r="B1615" s="111"/>
      <c r="C1615" s="119"/>
      <c r="D1615" s="99"/>
      <c r="E1615" s="176"/>
      <c r="F1615" s="1"/>
      <c r="G1615" s="38"/>
      <c r="H1615" s="29"/>
      <c r="I1615" s="481"/>
      <c r="J1615" s="60"/>
      <c r="K1615" s="200"/>
      <c r="L1615" s="27"/>
      <c r="M1615" s="1223"/>
      <c r="N1615" s="61"/>
      <c r="O1615" s="61"/>
    </row>
    <row r="1616" spans="1:15" s="642" customFormat="1" ht="22.5" x14ac:dyDescent="0.2">
      <c r="A1616" s="94"/>
      <c r="B1616" s="111"/>
      <c r="C1616" s="119"/>
      <c r="D1616" s="99"/>
      <c r="E1616" s="176"/>
      <c r="F1616" s="1"/>
      <c r="G1616" s="1"/>
      <c r="H1616" s="1093" t="s">
        <v>1015</v>
      </c>
      <c r="I1616" s="289"/>
      <c r="J1616" s="156"/>
      <c r="K1616" s="157"/>
      <c r="L1616" s="27"/>
      <c r="M1616" s="1223"/>
      <c r="N1616" s="61"/>
      <c r="O1616" s="61"/>
    </row>
    <row r="1617" spans="1:15" s="642" customFormat="1" x14ac:dyDescent="0.2">
      <c r="A1617" s="94"/>
      <c r="B1617" s="111"/>
      <c r="C1617" s="119"/>
      <c r="D1617" s="99"/>
      <c r="E1617" s="176"/>
      <c r="F1617" s="95" t="s">
        <v>990</v>
      </c>
      <c r="G1617" s="95">
        <v>424</v>
      </c>
      <c r="H1617" s="285" t="s">
        <v>10</v>
      </c>
      <c r="I1617" s="241">
        <v>960000</v>
      </c>
      <c r="J1617" s="187"/>
      <c r="K1617" s="187">
        <f>SUM(I1617:J1617)</f>
        <v>960000</v>
      </c>
      <c r="L1617" s="26"/>
      <c r="M1617" s="1223"/>
      <c r="N1617" s="61"/>
      <c r="O1617" s="61"/>
    </row>
    <row r="1618" spans="1:15" s="642" customFormat="1" x14ac:dyDescent="0.2">
      <c r="A1618" s="94"/>
      <c r="B1618" s="111"/>
      <c r="C1618" s="119"/>
      <c r="D1618" s="99"/>
      <c r="E1618" s="176"/>
      <c r="F1618" s="124" t="s">
        <v>991</v>
      </c>
      <c r="G1618" s="154" t="s">
        <v>332</v>
      </c>
      <c r="H1618" s="90" t="s">
        <v>20</v>
      </c>
      <c r="I1618" s="241">
        <v>48000000</v>
      </c>
      <c r="J1618" s="161"/>
      <c r="K1618" s="187">
        <f>SUM(I1618:J1618)</f>
        <v>48000000</v>
      </c>
      <c r="L1618" s="26"/>
      <c r="M1618" s="1223"/>
      <c r="N1618" s="61"/>
      <c r="O1618" s="61"/>
    </row>
    <row r="1619" spans="1:15" s="642" customFormat="1" x14ac:dyDescent="0.2">
      <c r="A1619" s="94"/>
      <c r="B1619" s="111"/>
      <c r="C1619" s="119"/>
      <c r="D1619" s="99"/>
      <c r="E1619" s="176"/>
      <c r="F1619" s="1"/>
      <c r="G1619" s="38" t="s">
        <v>39</v>
      </c>
      <c r="H1619" s="90" t="s">
        <v>40</v>
      </c>
      <c r="I1619" s="241">
        <f>SUM(I1621-I1620)</f>
        <v>24960000</v>
      </c>
      <c r="J1619" s="161"/>
      <c r="K1619" s="187">
        <f>SUM(I1619:J1619)</f>
        <v>24960000</v>
      </c>
      <c r="L1619" s="27"/>
      <c r="M1619" s="1223"/>
      <c r="N1619" s="61"/>
      <c r="O1619" s="61"/>
    </row>
    <row r="1620" spans="1:15" s="642" customFormat="1" x14ac:dyDescent="0.2">
      <c r="A1620" s="94"/>
      <c r="B1620" s="111"/>
      <c r="C1620" s="119"/>
      <c r="D1620" s="99"/>
      <c r="E1620" s="176"/>
      <c r="F1620" s="1"/>
      <c r="G1620" s="38" t="s">
        <v>157</v>
      </c>
      <c r="H1620" s="90" t="s">
        <v>517</v>
      </c>
      <c r="I1620" s="241">
        <v>24000000</v>
      </c>
      <c r="J1620" s="161"/>
      <c r="K1620" s="187">
        <f>SUM(I1620:J1620)</f>
        <v>24000000</v>
      </c>
      <c r="L1620" s="27"/>
      <c r="M1620" s="1223"/>
      <c r="N1620" s="61"/>
      <c r="O1620" s="61"/>
    </row>
    <row r="1621" spans="1:15" s="642" customFormat="1" x14ac:dyDescent="0.2">
      <c r="A1621" s="94"/>
      <c r="B1621" s="111"/>
      <c r="C1621" s="119"/>
      <c r="D1621" s="99"/>
      <c r="E1621" s="176"/>
      <c r="F1621" s="42"/>
      <c r="G1621" s="43"/>
      <c r="H1621" s="97" t="s">
        <v>1016</v>
      </c>
      <c r="I1621" s="179">
        <f>SUM(I1617:I1618)</f>
        <v>48960000</v>
      </c>
      <c r="J1621" s="162"/>
      <c r="K1621" s="162">
        <f>SUM(I1621:J1621)</f>
        <v>48960000</v>
      </c>
      <c r="L1621" s="27"/>
      <c r="M1621" s="1223"/>
      <c r="N1621" s="61"/>
      <c r="O1621" s="61"/>
    </row>
    <row r="1622" spans="1:15" x14ac:dyDescent="0.2">
      <c r="A1622" s="106"/>
      <c r="B1622" s="113"/>
      <c r="C1622" s="122"/>
      <c r="D1622" s="103"/>
      <c r="E1622" s="250"/>
      <c r="F1622" s="46"/>
      <c r="G1622" s="64"/>
      <c r="H1622" s="70"/>
      <c r="I1622" s="231"/>
      <c r="J1622" s="66"/>
      <c r="K1622" s="203"/>
    </row>
    <row r="1623" spans="1:15" s="642" customFormat="1" ht="22.5" x14ac:dyDescent="0.2">
      <c r="A1623" s="94"/>
      <c r="B1623" s="111"/>
      <c r="C1623" s="119"/>
      <c r="D1623" s="99"/>
      <c r="E1623" s="176"/>
      <c r="F1623" s="1"/>
      <c r="G1623" s="1"/>
      <c r="H1623" s="1093" t="s">
        <v>861</v>
      </c>
      <c r="I1623" s="289"/>
      <c r="J1623" s="156"/>
      <c r="K1623" s="157"/>
      <c r="L1623" s="27"/>
      <c r="M1623" s="1223"/>
      <c r="N1623" s="61"/>
      <c r="O1623" s="61"/>
    </row>
    <row r="1624" spans="1:15" s="642" customFormat="1" x14ac:dyDescent="0.2">
      <c r="A1624" s="94"/>
      <c r="B1624" s="111"/>
      <c r="C1624" s="119"/>
      <c r="D1624" s="99"/>
      <c r="E1624" s="176"/>
      <c r="F1624" s="124">
        <v>305</v>
      </c>
      <c r="G1624" s="154" t="s">
        <v>332</v>
      </c>
      <c r="H1624" s="90" t="s">
        <v>20</v>
      </c>
      <c r="I1624" s="241">
        <v>360000</v>
      </c>
      <c r="J1624" s="161"/>
      <c r="K1624" s="187">
        <f>SUM(I1624:J1624)</f>
        <v>360000</v>
      </c>
      <c r="L1624" s="27"/>
      <c r="M1624" s="1223"/>
      <c r="N1624" s="61"/>
      <c r="O1624" s="61"/>
    </row>
    <row r="1625" spans="1:15" s="642" customFormat="1" x14ac:dyDescent="0.2">
      <c r="A1625" s="94"/>
      <c r="B1625" s="111"/>
      <c r="C1625" s="119"/>
      <c r="D1625" s="99"/>
      <c r="E1625" s="176"/>
      <c r="F1625" s="1"/>
      <c r="G1625" s="38" t="s">
        <v>39</v>
      </c>
      <c r="H1625" s="90" t="s">
        <v>40</v>
      </c>
      <c r="I1625" s="241">
        <f>SUM(I1624)</f>
        <v>360000</v>
      </c>
      <c r="J1625" s="161"/>
      <c r="K1625" s="187">
        <f>SUM(I1625:J1625)</f>
        <v>360000</v>
      </c>
      <c r="L1625" s="27"/>
      <c r="M1625" s="1223"/>
      <c r="N1625" s="61"/>
      <c r="O1625" s="61"/>
    </row>
    <row r="1626" spans="1:15" s="642" customFormat="1" x14ac:dyDescent="0.2">
      <c r="A1626" s="94"/>
      <c r="B1626" s="111"/>
      <c r="C1626" s="119"/>
      <c r="D1626" s="99"/>
      <c r="E1626" s="176"/>
      <c r="F1626" s="42"/>
      <c r="G1626" s="43"/>
      <c r="H1626" s="97" t="s">
        <v>349</v>
      </c>
      <c r="I1626" s="179">
        <f>SUM(I1625)</f>
        <v>360000</v>
      </c>
      <c r="J1626" s="162"/>
      <c r="K1626" s="162">
        <f>SUM(I1626:J1626)</f>
        <v>360000</v>
      </c>
      <c r="L1626" s="27"/>
      <c r="M1626" s="1223"/>
      <c r="N1626" s="61"/>
      <c r="O1626" s="61"/>
    </row>
    <row r="1627" spans="1:15" s="642" customFormat="1" x14ac:dyDescent="0.2">
      <c r="A1627" s="94"/>
      <c r="B1627" s="111"/>
      <c r="C1627" s="119"/>
      <c r="D1627" s="99"/>
      <c r="E1627" s="176"/>
      <c r="F1627" s="1"/>
      <c r="G1627" s="38"/>
      <c r="H1627" s="44"/>
      <c r="I1627" s="481"/>
      <c r="J1627" s="47"/>
      <c r="K1627" s="200"/>
      <c r="L1627" s="27"/>
      <c r="M1627" s="1223"/>
      <c r="N1627" s="61"/>
      <c r="O1627" s="61"/>
    </row>
    <row r="1628" spans="1:15" s="642" customFormat="1" ht="22.5" x14ac:dyDescent="0.2">
      <c r="A1628" s="94"/>
      <c r="B1628" s="111"/>
      <c r="C1628" s="119"/>
      <c r="D1628" s="99"/>
      <c r="E1628" s="176"/>
      <c r="F1628" s="1"/>
      <c r="G1628" s="1"/>
      <c r="H1628" s="283" t="s">
        <v>1105</v>
      </c>
      <c r="I1628" s="286"/>
      <c r="J1628" s="158"/>
      <c r="K1628" s="159"/>
      <c r="L1628" s="27"/>
      <c r="M1628" s="1223"/>
      <c r="N1628" s="61"/>
      <c r="O1628" s="61"/>
    </row>
    <row r="1629" spans="1:15" s="642" customFormat="1" x14ac:dyDescent="0.2">
      <c r="A1629" s="94"/>
      <c r="B1629" s="111"/>
      <c r="C1629" s="119"/>
      <c r="D1629" s="99"/>
      <c r="E1629" s="176"/>
      <c r="F1629" s="124">
        <v>306</v>
      </c>
      <c r="G1629" s="154" t="s">
        <v>332</v>
      </c>
      <c r="H1629" s="90" t="s">
        <v>20</v>
      </c>
      <c r="I1629" s="241">
        <v>6960000</v>
      </c>
      <c r="J1629" s="160"/>
      <c r="K1629" s="187">
        <f>SUM(I1629:J1629)</f>
        <v>6960000</v>
      </c>
      <c r="L1629" s="27"/>
      <c r="M1629" s="1223"/>
      <c r="N1629" s="61"/>
      <c r="O1629" s="61"/>
    </row>
    <row r="1630" spans="1:15" s="642" customFormat="1" x14ac:dyDescent="0.2">
      <c r="A1630" s="112"/>
      <c r="B1630" s="98"/>
      <c r="C1630" s="99"/>
      <c r="D1630" s="99"/>
      <c r="E1630" s="176"/>
      <c r="F1630" s="57"/>
      <c r="G1630" s="58" t="s">
        <v>39</v>
      </c>
      <c r="H1630" s="90" t="s">
        <v>40</v>
      </c>
      <c r="I1630" s="241">
        <f>SUM(I1629:I1629)</f>
        <v>6960000</v>
      </c>
      <c r="J1630" s="161"/>
      <c r="K1630" s="187">
        <f>SUM(I1630:J1630)</f>
        <v>6960000</v>
      </c>
      <c r="L1630" s="27"/>
      <c r="M1630" s="1223"/>
      <c r="N1630" s="61"/>
      <c r="O1630" s="61"/>
    </row>
    <row r="1631" spans="1:15" s="642" customFormat="1" x14ac:dyDescent="0.2">
      <c r="A1631" s="112"/>
      <c r="B1631" s="98"/>
      <c r="C1631" s="99"/>
      <c r="D1631" s="99"/>
      <c r="E1631" s="176"/>
      <c r="F1631" s="57"/>
      <c r="G1631" s="58"/>
      <c r="H1631" s="97" t="s">
        <v>353</v>
      </c>
      <c r="I1631" s="179">
        <f>SUM(I1630)</f>
        <v>6960000</v>
      </c>
      <c r="J1631" s="162"/>
      <c r="K1631" s="162">
        <f>SUM(I1631:J1631)</f>
        <v>6960000</v>
      </c>
      <c r="L1631" s="27"/>
      <c r="M1631" s="1223"/>
      <c r="N1631" s="61"/>
      <c r="O1631" s="61"/>
    </row>
    <row r="1632" spans="1:15" x14ac:dyDescent="0.2">
      <c r="A1632" s="375"/>
      <c r="B1632" s="359"/>
      <c r="C1632" s="103"/>
      <c r="D1632" s="103"/>
      <c r="E1632" s="250"/>
      <c r="F1632" s="46"/>
      <c r="G1632" s="64"/>
      <c r="H1632" s="70"/>
      <c r="I1632" s="69"/>
      <c r="J1632" s="66"/>
      <c r="K1632" s="203"/>
    </row>
    <row r="1633" spans="1:15" s="642" customFormat="1" ht="22.5" x14ac:dyDescent="0.2">
      <c r="A1633" s="94"/>
      <c r="B1633" s="111"/>
      <c r="C1633" s="99"/>
      <c r="D1633" s="119"/>
      <c r="E1633" s="176"/>
      <c r="F1633" s="1"/>
      <c r="G1633" s="1"/>
      <c r="H1633" s="1095" t="s">
        <v>965</v>
      </c>
      <c r="I1633" s="286"/>
      <c r="J1633" s="158"/>
      <c r="K1633" s="159"/>
      <c r="L1633" s="27"/>
      <c r="M1633" s="1223"/>
      <c r="N1633" s="61"/>
      <c r="O1633" s="61"/>
    </row>
    <row r="1634" spans="1:15" s="642" customFormat="1" x14ac:dyDescent="0.2">
      <c r="A1634" s="94"/>
      <c r="B1634" s="111"/>
      <c r="C1634" s="119"/>
      <c r="D1634" s="99"/>
      <c r="E1634" s="176"/>
      <c r="F1634" s="95">
        <v>307</v>
      </c>
      <c r="G1634" s="284">
        <v>424</v>
      </c>
      <c r="H1634" s="285" t="s">
        <v>10</v>
      </c>
      <c r="I1634" s="241">
        <v>1</v>
      </c>
      <c r="J1634" s="187"/>
      <c r="K1634" s="187">
        <f>SUM(I1634:J1634)</f>
        <v>1</v>
      </c>
      <c r="L1634" s="26"/>
      <c r="M1634" s="1223"/>
      <c r="N1634" s="61"/>
      <c r="O1634" s="61"/>
    </row>
    <row r="1635" spans="1:15" s="642" customFormat="1" x14ac:dyDescent="0.2">
      <c r="A1635" s="94"/>
      <c r="B1635" s="111"/>
      <c r="C1635" s="119"/>
      <c r="D1635" s="99"/>
      <c r="E1635" s="176"/>
      <c r="F1635" s="124">
        <v>308</v>
      </c>
      <c r="G1635" s="154" t="s">
        <v>332</v>
      </c>
      <c r="H1635" s="90" t="s">
        <v>20</v>
      </c>
      <c r="I1635" s="241">
        <v>20340000</v>
      </c>
      <c r="J1635" s="160"/>
      <c r="K1635" s="187">
        <f>SUM(I1635:J1635)</f>
        <v>20340000</v>
      </c>
      <c r="L1635" s="26"/>
      <c r="M1635" s="1223"/>
      <c r="N1635" s="61"/>
      <c r="O1635" s="61"/>
    </row>
    <row r="1636" spans="1:15" s="642" customFormat="1" x14ac:dyDescent="0.2">
      <c r="A1636" s="94"/>
      <c r="B1636" s="111"/>
      <c r="C1636" s="119"/>
      <c r="D1636" s="99"/>
      <c r="E1636" s="176"/>
      <c r="F1636" s="57"/>
      <c r="G1636" s="58" t="s">
        <v>39</v>
      </c>
      <c r="H1636" s="90" t="s">
        <v>40</v>
      </c>
      <c r="I1636" s="241">
        <f>SUM(I1634:I1635)</f>
        <v>20340001</v>
      </c>
      <c r="J1636" s="161"/>
      <c r="K1636" s="187">
        <f>SUM(I1636:J1636)</f>
        <v>20340001</v>
      </c>
      <c r="L1636" s="27"/>
      <c r="M1636" s="1223"/>
      <c r="N1636" s="61"/>
      <c r="O1636" s="61"/>
    </row>
    <row r="1637" spans="1:15" s="642" customFormat="1" x14ac:dyDescent="0.2">
      <c r="A1637" s="94"/>
      <c r="B1637" s="111"/>
      <c r="C1637" s="119"/>
      <c r="D1637" s="99"/>
      <c r="E1637" s="176"/>
      <c r="F1637" s="57"/>
      <c r="G1637" s="58"/>
      <c r="H1637" s="97" t="s">
        <v>684</v>
      </c>
      <c r="I1637" s="179">
        <f>SUM(I1636)</f>
        <v>20340001</v>
      </c>
      <c r="J1637" s="162"/>
      <c r="K1637" s="162">
        <f>SUM(I1637:J1637)</f>
        <v>20340001</v>
      </c>
      <c r="L1637" s="27"/>
      <c r="M1637" s="1223"/>
      <c r="N1637" s="61"/>
      <c r="O1637" s="61"/>
    </row>
    <row r="1638" spans="1:15" s="642" customFormat="1" x14ac:dyDescent="0.2">
      <c r="A1638" s="94"/>
      <c r="B1638" s="111"/>
      <c r="C1638" s="119"/>
      <c r="D1638" s="99"/>
      <c r="E1638" s="176"/>
      <c r="F1638" s="1"/>
      <c r="G1638" s="30"/>
      <c r="H1638" s="29"/>
      <c r="I1638" s="481"/>
      <c r="J1638" s="60"/>
      <c r="K1638" s="200"/>
      <c r="L1638" s="27"/>
      <c r="M1638" s="1223"/>
      <c r="N1638" s="61"/>
      <c r="O1638" s="61"/>
    </row>
    <row r="1639" spans="1:15" s="642" customFormat="1" ht="33.75" x14ac:dyDescent="0.2">
      <c r="A1639" s="94"/>
      <c r="B1639" s="111"/>
      <c r="C1639" s="119"/>
      <c r="D1639" s="99"/>
      <c r="E1639" s="176"/>
      <c r="F1639" s="1"/>
      <c r="G1639" s="1"/>
      <c r="H1639" s="1095" t="s">
        <v>966</v>
      </c>
      <c r="I1639" s="286"/>
      <c r="J1639" s="158"/>
      <c r="K1639" s="159"/>
      <c r="L1639" s="27"/>
      <c r="M1639" s="1223"/>
      <c r="N1639" s="61"/>
      <c r="O1639" s="61"/>
    </row>
    <row r="1640" spans="1:15" s="642" customFormat="1" x14ac:dyDescent="0.2">
      <c r="A1640" s="94"/>
      <c r="B1640" s="111"/>
      <c r="C1640" s="119"/>
      <c r="D1640" s="99"/>
      <c r="E1640" s="176"/>
      <c r="F1640" s="124" t="s">
        <v>967</v>
      </c>
      <c r="G1640" s="154" t="s">
        <v>332</v>
      </c>
      <c r="H1640" s="90" t="s">
        <v>20</v>
      </c>
      <c r="I1640" s="241">
        <v>1000</v>
      </c>
      <c r="J1640" s="160"/>
      <c r="K1640" s="187">
        <f>SUM(I1640:J1640)</f>
        <v>1000</v>
      </c>
      <c r="L1640" s="26"/>
      <c r="M1640" s="1223"/>
      <c r="N1640" s="61"/>
      <c r="O1640" s="61"/>
    </row>
    <row r="1641" spans="1:15" s="642" customFormat="1" x14ac:dyDescent="0.2">
      <c r="A1641" s="94"/>
      <c r="B1641" s="111"/>
      <c r="C1641" s="119"/>
      <c r="D1641" s="99"/>
      <c r="E1641" s="176"/>
      <c r="F1641" s="57"/>
      <c r="G1641" s="58" t="s">
        <v>39</v>
      </c>
      <c r="H1641" s="90" t="s">
        <v>40</v>
      </c>
      <c r="I1641" s="241">
        <f>SUM(I1640:I1640)</f>
        <v>1000</v>
      </c>
      <c r="J1641" s="161"/>
      <c r="K1641" s="187">
        <f>SUM(I1641:J1641)</f>
        <v>1000</v>
      </c>
      <c r="L1641" s="27"/>
      <c r="M1641" s="1223"/>
      <c r="N1641" s="61"/>
      <c r="O1641" s="61"/>
    </row>
    <row r="1642" spans="1:15" s="642" customFormat="1" x14ac:dyDescent="0.2">
      <c r="A1642" s="94"/>
      <c r="B1642" s="111"/>
      <c r="C1642" s="119"/>
      <c r="D1642" s="99"/>
      <c r="E1642" s="176"/>
      <c r="F1642" s="57"/>
      <c r="G1642" s="58"/>
      <c r="H1642" s="97" t="s">
        <v>1002</v>
      </c>
      <c r="I1642" s="179">
        <f>SUM(I1641)</f>
        <v>1000</v>
      </c>
      <c r="J1642" s="162"/>
      <c r="K1642" s="162">
        <f>SUM(I1642:J1642)</f>
        <v>1000</v>
      </c>
      <c r="L1642" s="27"/>
      <c r="M1642" s="1223"/>
      <c r="N1642" s="61"/>
      <c r="O1642" s="61"/>
    </row>
    <row r="1643" spans="1:15" x14ac:dyDescent="0.2">
      <c r="A1643" s="106"/>
      <c r="B1643" s="113"/>
      <c r="C1643" s="122"/>
      <c r="D1643" s="103"/>
      <c r="E1643" s="250"/>
      <c r="F1643" s="46"/>
      <c r="G1643" s="64"/>
      <c r="H1643" s="70"/>
      <c r="I1643" s="69"/>
      <c r="J1643" s="66"/>
      <c r="K1643" s="203"/>
    </row>
    <row r="1644" spans="1:15" s="642" customFormat="1" ht="33.75" x14ac:dyDescent="0.2">
      <c r="A1644" s="94"/>
      <c r="B1644" s="111"/>
      <c r="C1644" s="119"/>
      <c r="D1644" s="99"/>
      <c r="E1644" s="176"/>
      <c r="F1644" s="1"/>
      <c r="G1644" s="1"/>
      <c r="H1644" s="1095" t="s">
        <v>999</v>
      </c>
      <c r="I1644" s="286"/>
      <c r="J1644" s="158"/>
      <c r="K1644" s="159"/>
      <c r="L1644" s="27"/>
      <c r="M1644" s="1223"/>
      <c r="N1644" s="61"/>
      <c r="O1644" s="61"/>
    </row>
    <row r="1645" spans="1:15" s="642" customFormat="1" x14ac:dyDescent="0.2">
      <c r="A1645" s="94"/>
      <c r="B1645" s="111"/>
      <c r="C1645" s="119"/>
      <c r="D1645" s="99"/>
      <c r="E1645" s="176"/>
      <c r="F1645" s="1" t="s">
        <v>1000</v>
      </c>
      <c r="G1645" s="284">
        <v>424</v>
      </c>
      <c r="H1645" s="285" t="s">
        <v>10</v>
      </c>
      <c r="I1645" s="241">
        <v>300000</v>
      </c>
      <c r="J1645" s="187"/>
      <c r="K1645" s="187">
        <f>SUM(I1645:J1645)</f>
        <v>300000</v>
      </c>
      <c r="L1645" s="27"/>
      <c r="M1645" s="1223"/>
      <c r="N1645" s="61"/>
      <c r="O1645" s="61"/>
    </row>
    <row r="1646" spans="1:15" s="642" customFormat="1" x14ac:dyDescent="0.2">
      <c r="A1646" s="94"/>
      <c r="B1646" s="111"/>
      <c r="C1646" s="119"/>
      <c r="D1646" s="99"/>
      <c r="E1646" s="176"/>
      <c r="F1646" s="124" t="s">
        <v>1001</v>
      </c>
      <c r="G1646" s="154" t="s">
        <v>332</v>
      </c>
      <c r="H1646" s="90" t="s">
        <v>20</v>
      </c>
      <c r="I1646" s="241">
        <v>15000000</v>
      </c>
      <c r="J1646" s="160"/>
      <c r="K1646" s="187">
        <f>SUM(I1646:J1646)</f>
        <v>15000000</v>
      </c>
      <c r="L1646" s="27"/>
      <c r="M1646" s="1223"/>
      <c r="N1646" s="61"/>
      <c r="O1646" s="61"/>
    </row>
    <row r="1647" spans="1:15" s="642" customFormat="1" x14ac:dyDescent="0.2">
      <c r="A1647" s="94"/>
      <c r="B1647" s="111"/>
      <c r="C1647" s="119"/>
      <c r="D1647" s="99"/>
      <c r="E1647" s="176"/>
      <c r="F1647" s="57"/>
      <c r="G1647" s="58" t="s">
        <v>39</v>
      </c>
      <c r="H1647" s="90" t="s">
        <v>40</v>
      </c>
      <c r="I1647" s="241">
        <f>SUM(I1645:I1646)</f>
        <v>15300000</v>
      </c>
      <c r="J1647" s="161"/>
      <c r="K1647" s="187">
        <f>SUM(I1647:J1647)</f>
        <v>15300000</v>
      </c>
      <c r="L1647" s="27"/>
      <c r="M1647" s="1223"/>
      <c r="N1647" s="61"/>
      <c r="O1647" s="61"/>
    </row>
    <row r="1648" spans="1:15" s="642" customFormat="1" x14ac:dyDescent="0.2">
      <c r="A1648" s="94"/>
      <c r="B1648" s="111"/>
      <c r="C1648" s="119"/>
      <c r="D1648" s="99"/>
      <c r="E1648" s="176"/>
      <c r="F1648" s="57"/>
      <c r="G1648" s="58"/>
      <c r="H1648" s="97" t="s">
        <v>1003</v>
      </c>
      <c r="I1648" s="179">
        <f>SUM(I1647)</f>
        <v>15300000</v>
      </c>
      <c r="J1648" s="162"/>
      <c r="K1648" s="162">
        <f>SUM(I1648:J1648)</f>
        <v>15300000</v>
      </c>
      <c r="L1648" s="27"/>
      <c r="M1648" s="1223"/>
      <c r="N1648" s="61"/>
      <c r="O1648" s="61"/>
    </row>
    <row r="1649" spans="1:15" x14ac:dyDescent="0.2">
      <c r="A1649" s="106"/>
      <c r="B1649" s="113"/>
      <c r="C1649" s="122"/>
      <c r="D1649" s="103"/>
      <c r="E1649" s="250"/>
      <c r="F1649" s="46"/>
      <c r="G1649" s="64"/>
      <c r="H1649" s="55"/>
      <c r="I1649" s="69"/>
      <c r="J1649" s="63"/>
      <c r="K1649" s="203"/>
    </row>
    <row r="1650" spans="1:15" ht="56.25" x14ac:dyDescent="0.2">
      <c r="A1650" s="106"/>
      <c r="B1650" s="113"/>
      <c r="C1650" s="122"/>
      <c r="D1650" s="103"/>
      <c r="E1650" s="250"/>
      <c r="F1650" s="1"/>
      <c r="G1650" s="1"/>
      <c r="H1650" s="1097" t="s">
        <v>1155</v>
      </c>
      <c r="I1650" s="286"/>
      <c r="J1650" s="158"/>
      <c r="K1650" s="159"/>
    </row>
    <row r="1651" spans="1:15" x14ac:dyDescent="0.2">
      <c r="A1651" s="106"/>
      <c r="B1651" s="113"/>
      <c r="C1651" s="122"/>
      <c r="D1651" s="103"/>
      <c r="E1651" s="250"/>
      <c r="F1651" s="95">
        <v>309</v>
      </c>
      <c r="G1651" s="95">
        <v>424</v>
      </c>
      <c r="H1651" s="285" t="s">
        <v>10</v>
      </c>
      <c r="I1651" s="1276">
        <v>1</v>
      </c>
      <c r="J1651" s="187"/>
      <c r="K1651" s="187">
        <f>SUM(I1651:J1651)</f>
        <v>1</v>
      </c>
    </row>
    <row r="1652" spans="1:15" x14ac:dyDescent="0.2">
      <c r="A1652" s="106"/>
      <c r="B1652" s="113"/>
      <c r="C1652" s="122"/>
      <c r="D1652" s="103"/>
      <c r="E1652" s="250"/>
      <c r="F1652" s="124">
        <v>310</v>
      </c>
      <c r="G1652" s="154" t="s">
        <v>332</v>
      </c>
      <c r="H1652" s="90" t="s">
        <v>20</v>
      </c>
      <c r="I1652" s="1276">
        <v>25540000</v>
      </c>
      <c r="J1652" s="160"/>
      <c r="K1652" s="187">
        <f>SUM(I1652:J1652)</f>
        <v>25540000</v>
      </c>
    </row>
    <row r="1653" spans="1:15" x14ac:dyDescent="0.2">
      <c r="A1653" s="106"/>
      <c r="B1653" s="113"/>
      <c r="C1653" s="122"/>
      <c r="D1653" s="103"/>
      <c r="E1653" s="250"/>
      <c r="F1653" s="57"/>
      <c r="G1653" s="58" t="s">
        <v>39</v>
      </c>
      <c r="H1653" s="90" t="s">
        <v>40</v>
      </c>
      <c r="I1653" s="241">
        <f>SUM(I1651:I1652)</f>
        <v>25540001</v>
      </c>
      <c r="J1653" s="161"/>
      <c r="K1653" s="187">
        <f>SUM(I1653:J1653)</f>
        <v>25540001</v>
      </c>
    </row>
    <row r="1654" spans="1:15" x14ac:dyDescent="0.2">
      <c r="A1654" s="106"/>
      <c r="B1654" s="113"/>
      <c r="C1654" s="122"/>
      <c r="D1654" s="103"/>
      <c r="E1654" s="250"/>
      <c r="F1654" s="57"/>
      <c r="G1654" s="58"/>
      <c r="H1654" s="97" t="s">
        <v>685</v>
      </c>
      <c r="I1654" s="179">
        <f>SUM(I1653)</f>
        <v>25540001</v>
      </c>
      <c r="J1654" s="162"/>
      <c r="K1654" s="162">
        <f>SUM(I1654:J1654)</f>
        <v>25540001</v>
      </c>
    </row>
    <row r="1655" spans="1:15" x14ac:dyDescent="0.2">
      <c r="A1655" s="106"/>
      <c r="B1655" s="113"/>
      <c r="C1655" s="122"/>
      <c r="D1655" s="103"/>
      <c r="E1655" s="250"/>
      <c r="F1655" s="46"/>
      <c r="G1655" s="64"/>
      <c r="H1655" s="70"/>
      <c r="I1655" s="69"/>
      <c r="J1655" s="66"/>
      <c r="K1655" s="203"/>
    </row>
    <row r="1656" spans="1:15" s="642" customFormat="1" ht="33.75" x14ac:dyDescent="0.2">
      <c r="A1656" s="94"/>
      <c r="B1656" s="111"/>
      <c r="C1656" s="119"/>
      <c r="D1656" s="99"/>
      <c r="E1656" s="176"/>
      <c r="F1656" s="1"/>
      <c r="G1656" s="1"/>
      <c r="H1656" s="167" t="s">
        <v>1106</v>
      </c>
      <c r="I1656" s="286"/>
      <c r="J1656" s="158"/>
      <c r="K1656" s="159"/>
      <c r="L1656" s="27"/>
      <c r="M1656" s="1223"/>
      <c r="N1656" s="61"/>
      <c r="O1656" s="61"/>
    </row>
    <row r="1657" spans="1:15" s="642" customFormat="1" x14ac:dyDescent="0.2">
      <c r="A1657" s="94"/>
      <c r="B1657" s="111"/>
      <c r="C1657" s="119"/>
      <c r="D1657" s="99"/>
      <c r="E1657" s="176"/>
      <c r="F1657" s="95" t="s">
        <v>996</v>
      </c>
      <c r="G1657" s="95">
        <v>424</v>
      </c>
      <c r="H1657" s="285" t="s">
        <v>10</v>
      </c>
      <c r="I1657" s="241">
        <v>1</v>
      </c>
      <c r="J1657" s="187"/>
      <c r="K1657" s="187">
        <f>SUM(I1657:J1657)</f>
        <v>1</v>
      </c>
      <c r="L1657" s="26"/>
      <c r="M1657" s="1223"/>
      <c r="N1657" s="61"/>
      <c r="O1657" s="61"/>
    </row>
    <row r="1658" spans="1:15" s="642" customFormat="1" x14ac:dyDescent="0.2">
      <c r="A1658" s="94"/>
      <c r="B1658" s="111"/>
      <c r="C1658" s="119"/>
      <c r="D1658" s="99"/>
      <c r="E1658" s="176"/>
      <c r="F1658" s="124" t="s">
        <v>997</v>
      </c>
      <c r="G1658" s="154" t="s">
        <v>332</v>
      </c>
      <c r="H1658" s="90" t="s">
        <v>20</v>
      </c>
      <c r="I1658" s="241">
        <v>2210000</v>
      </c>
      <c r="J1658" s="160"/>
      <c r="K1658" s="187">
        <f>SUM(I1658:J1658)</f>
        <v>2210000</v>
      </c>
      <c r="L1658" s="26"/>
      <c r="M1658" s="1223"/>
      <c r="N1658" s="61"/>
      <c r="O1658" s="61"/>
    </row>
    <row r="1659" spans="1:15" s="642" customFormat="1" x14ac:dyDescent="0.2">
      <c r="A1659" s="94"/>
      <c r="B1659" s="111"/>
      <c r="C1659" s="119"/>
      <c r="D1659" s="99"/>
      <c r="E1659" s="176"/>
      <c r="F1659" s="57"/>
      <c r="G1659" s="58" t="s">
        <v>39</v>
      </c>
      <c r="H1659" s="90" t="s">
        <v>40</v>
      </c>
      <c r="I1659" s="241">
        <f>SUM(I1657:I1658)</f>
        <v>2210001</v>
      </c>
      <c r="J1659" s="161"/>
      <c r="K1659" s="187">
        <f>SUM(I1659:J1659)</f>
        <v>2210001</v>
      </c>
      <c r="L1659" s="27"/>
      <c r="M1659" s="1223"/>
      <c r="N1659" s="61"/>
      <c r="O1659" s="61"/>
    </row>
    <row r="1660" spans="1:15" s="642" customFormat="1" x14ac:dyDescent="0.2">
      <c r="A1660" s="94"/>
      <c r="B1660" s="111"/>
      <c r="C1660" s="119"/>
      <c r="D1660" s="99"/>
      <c r="E1660" s="176"/>
      <c r="F1660" s="57"/>
      <c r="G1660" s="58"/>
      <c r="H1660" s="97" t="s">
        <v>1017</v>
      </c>
      <c r="I1660" s="179">
        <f>SUM(I1659)</f>
        <v>2210001</v>
      </c>
      <c r="J1660" s="162"/>
      <c r="K1660" s="162">
        <f>SUM(I1660:J1660)</f>
        <v>2210001</v>
      </c>
      <c r="L1660" s="27"/>
      <c r="M1660" s="1223"/>
      <c r="N1660" s="61"/>
      <c r="O1660" s="61"/>
    </row>
    <row r="1661" spans="1:15" x14ac:dyDescent="0.2">
      <c r="A1661" s="106"/>
      <c r="B1661" s="113"/>
      <c r="C1661" s="122"/>
      <c r="D1661" s="103"/>
      <c r="E1661" s="250"/>
      <c r="F1661" s="46"/>
      <c r="G1661" s="64"/>
      <c r="H1661" s="70"/>
      <c r="I1661" s="69"/>
      <c r="J1661" s="66"/>
      <c r="K1661" s="203"/>
    </row>
    <row r="1662" spans="1:15" s="642" customFormat="1" ht="22.5" x14ac:dyDescent="0.2">
      <c r="A1662" s="94"/>
      <c r="B1662" s="111"/>
      <c r="C1662" s="119"/>
      <c r="D1662" s="99"/>
      <c r="E1662" s="176"/>
      <c r="F1662" s="1"/>
      <c r="G1662" s="1"/>
      <c r="H1662" s="1095" t="s">
        <v>1107</v>
      </c>
      <c r="I1662" s="286"/>
      <c r="J1662" s="158"/>
      <c r="K1662" s="159"/>
      <c r="L1662" s="27"/>
      <c r="M1662" s="1223"/>
      <c r="N1662" s="61"/>
      <c r="O1662" s="61"/>
    </row>
    <row r="1663" spans="1:15" s="642" customFormat="1" x14ac:dyDescent="0.2">
      <c r="A1663" s="94"/>
      <c r="B1663" s="111"/>
      <c r="C1663" s="119"/>
      <c r="D1663" s="99"/>
      <c r="E1663" s="176"/>
      <c r="F1663" s="124">
        <v>311</v>
      </c>
      <c r="G1663" s="154" t="s">
        <v>332</v>
      </c>
      <c r="H1663" s="90" t="s">
        <v>20</v>
      </c>
      <c r="I1663" s="241">
        <v>1000</v>
      </c>
      <c r="J1663" s="160"/>
      <c r="K1663" s="187">
        <f>SUM(I1663:J1663)</f>
        <v>1000</v>
      </c>
      <c r="L1663" s="26"/>
      <c r="M1663" s="1223"/>
      <c r="N1663" s="61"/>
      <c r="O1663" s="61"/>
    </row>
    <row r="1664" spans="1:15" s="642" customFormat="1" x14ac:dyDescent="0.2">
      <c r="A1664" s="94"/>
      <c r="B1664" s="111"/>
      <c r="C1664" s="119"/>
      <c r="D1664" s="99"/>
      <c r="E1664" s="176"/>
      <c r="F1664" s="57"/>
      <c r="G1664" s="58" t="s">
        <v>39</v>
      </c>
      <c r="H1664" s="90" t="s">
        <v>40</v>
      </c>
      <c r="I1664" s="241">
        <f>SUM(I1663:I1663)</f>
        <v>1000</v>
      </c>
      <c r="J1664" s="161"/>
      <c r="K1664" s="187">
        <f>SUM(I1664:J1664)</f>
        <v>1000</v>
      </c>
      <c r="L1664" s="27"/>
      <c r="M1664" s="1223"/>
      <c r="N1664" s="61"/>
      <c r="O1664" s="61"/>
    </row>
    <row r="1665" spans="1:15" s="642" customFormat="1" x14ac:dyDescent="0.2">
      <c r="A1665" s="94"/>
      <c r="B1665" s="111"/>
      <c r="C1665" s="119"/>
      <c r="D1665" s="99"/>
      <c r="E1665" s="176"/>
      <c r="F1665" s="57"/>
      <c r="G1665" s="58"/>
      <c r="H1665" s="97" t="s">
        <v>686</v>
      </c>
      <c r="I1665" s="179">
        <f>SUM(I1664)</f>
        <v>1000</v>
      </c>
      <c r="J1665" s="162"/>
      <c r="K1665" s="162">
        <f>SUM(I1665:J1665)</f>
        <v>1000</v>
      </c>
      <c r="L1665" s="27"/>
      <c r="M1665" s="1223"/>
      <c r="N1665" s="61"/>
      <c r="O1665" s="61"/>
    </row>
    <row r="1666" spans="1:15" x14ac:dyDescent="0.2">
      <c r="A1666" s="106"/>
      <c r="B1666" s="113"/>
      <c r="C1666" s="122"/>
      <c r="D1666" s="103"/>
      <c r="E1666" s="250"/>
      <c r="F1666" s="46"/>
      <c r="G1666" s="64"/>
      <c r="H1666" s="70"/>
      <c r="I1666" s="69"/>
      <c r="J1666" s="66"/>
      <c r="K1666" s="203"/>
    </row>
    <row r="1667" spans="1:15" ht="22.5" x14ac:dyDescent="0.2">
      <c r="A1667" s="106"/>
      <c r="B1667" s="113"/>
      <c r="C1667" s="122"/>
      <c r="D1667" s="103"/>
      <c r="E1667" s="250"/>
      <c r="F1667" s="46"/>
      <c r="G1667" s="46"/>
      <c r="H1667" s="1097" t="s">
        <v>1108</v>
      </c>
      <c r="I1667" s="235"/>
      <c r="J1667" s="190"/>
      <c r="K1667" s="244"/>
    </row>
    <row r="1668" spans="1:15" s="642" customFormat="1" x14ac:dyDescent="0.2">
      <c r="A1668" s="94"/>
      <c r="B1668" s="111"/>
      <c r="C1668" s="119"/>
      <c r="D1668" s="99"/>
      <c r="E1668" s="176"/>
      <c r="F1668" s="95">
        <v>312</v>
      </c>
      <c r="G1668" s="284">
        <v>424</v>
      </c>
      <c r="H1668" s="285" t="s">
        <v>10</v>
      </c>
      <c r="I1668" s="241">
        <v>120000</v>
      </c>
      <c r="J1668" s="187"/>
      <c r="K1668" s="187">
        <f>SUM(I1668:J1668)</f>
        <v>120000</v>
      </c>
      <c r="L1668" s="26"/>
      <c r="M1668" s="1223"/>
      <c r="N1668" s="61"/>
      <c r="O1668" s="61"/>
    </row>
    <row r="1669" spans="1:15" s="642" customFormat="1" x14ac:dyDescent="0.2">
      <c r="A1669" s="94"/>
      <c r="B1669" s="111"/>
      <c r="C1669" s="119"/>
      <c r="D1669" s="99"/>
      <c r="E1669" s="176"/>
      <c r="F1669" s="124">
        <v>313</v>
      </c>
      <c r="G1669" s="154" t="s">
        <v>332</v>
      </c>
      <c r="H1669" s="90" t="s">
        <v>20</v>
      </c>
      <c r="I1669" s="241">
        <v>3360000</v>
      </c>
      <c r="J1669" s="160"/>
      <c r="K1669" s="187">
        <f>SUM(I1669:J1669)</f>
        <v>3360000</v>
      </c>
      <c r="L1669" s="26"/>
      <c r="M1669" s="1223"/>
      <c r="N1669" s="61"/>
      <c r="O1669" s="61"/>
    </row>
    <row r="1670" spans="1:15" s="642" customFormat="1" x14ac:dyDescent="0.2">
      <c r="A1670" s="94"/>
      <c r="B1670" s="111"/>
      <c r="C1670" s="119"/>
      <c r="D1670" s="99"/>
      <c r="E1670" s="176"/>
      <c r="F1670" s="57"/>
      <c r="G1670" s="58" t="s">
        <v>39</v>
      </c>
      <c r="H1670" s="90" t="s">
        <v>40</v>
      </c>
      <c r="I1670" s="241">
        <f>SUM(I1668:I1669)</f>
        <v>3480000</v>
      </c>
      <c r="J1670" s="161"/>
      <c r="K1670" s="187">
        <f>SUM(I1670:J1670)</f>
        <v>3480000</v>
      </c>
      <c r="L1670" s="27"/>
      <c r="M1670" s="1223"/>
      <c r="N1670" s="61"/>
      <c r="O1670" s="61"/>
    </row>
    <row r="1671" spans="1:15" s="642" customFormat="1" x14ac:dyDescent="0.2">
      <c r="A1671" s="94"/>
      <c r="B1671" s="111"/>
      <c r="C1671" s="119"/>
      <c r="D1671" s="99"/>
      <c r="E1671" s="176"/>
      <c r="F1671" s="57"/>
      <c r="G1671" s="58"/>
      <c r="H1671" s="97" t="s">
        <v>687</v>
      </c>
      <c r="I1671" s="179">
        <f>SUM(I1670)</f>
        <v>3480000</v>
      </c>
      <c r="J1671" s="162"/>
      <c r="K1671" s="162">
        <f>SUM(I1671:J1671)</f>
        <v>3480000</v>
      </c>
      <c r="L1671" s="27"/>
      <c r="M1671" s="1223"/>
      <c r="N1671" s="61"/>
      <c r="O1671" s="61"/>
    </row>
    <row r="1672" spans="1:15" x14ac:dyDescent="0.2">
      <c r="A1672" s="106"/>
      <c r="B1672" s="113"/>
      <c r="C1672" s="122"/>
      <c r="D1672" s="103"/>
      <c r="E1672" s="250"/>
      <c r="F1672" s="46"/>
      <c r="G1672" s="64"/>
      <c r="H1672" s="70"/>
      <c r="I1672" s="69"/>
      <c r="J1672" s="66"/>
      <c r="K1672" s="203"/>
    </row>
    <row r="1673" spans="1:15" s="642" customFormat="1" ht="22.5" x14ac:dyDescent="0.2">
      <c r="A1673" s="94"/>
      <c r="B1673" s="111"/>
      <c r="C1673" s="119"/>
      <c r="D1673" s="99"/>
      <c r="E1673" s="176"/>
      <c r="F1673" s="1"/>
      <c r="G1673" s="1"/>
      <c r="H1673" s="166" t="s">
        <v>892</v>
      </c>
      <c r="I1673" s="289"/>
      <c r="J1673" s="156"/>
      <c r="K1673" s="157"/>
      <c r="L1673" s="27"/>
      <c r="M1673" s="1223"/>
      <c r="N1673" s="61"/>
      <c r="O1673" s="61"/>
    </row>
    <row r="1674" spans="1:15" s="642" customFormat="1" x14ac:dyDescent="0.2">
      <c r="A1674" s="583"/>
      <c r="B1674" s="781"/>
      <c r="C1674" s="121"/>
      <c r="D1674" s="101"/>
      <c r="E1674" s="177"/>
      <c r="F1674" s="124">
        <v>314</v>
      </c>
      <c r="G1674" s="154" t="s">
        <v>332</v>
      </c>
      <c r="H1674" s="90" t="s">
        <v>20</v>
      </c>
      <c r="I1674" s="241">
        <v>600000</v>
      </c>
      <c r="J1674" s="160"/>
      <c r="K1674" s="187">
        <f>SUM(I1674:J1674)</f>
        <v>600000</v>
      </c>
      <c r="L1674" s="27"/>
      <c r="M1674" s="1223"/>
      <c r="N1674" s="61"/>
      <c r="O1674" s="61"/>
    </row>
    <row r="1675" spans="1:15" s="642" customFormat="1" x14ac:dyDescent="0.2">
      <c r="A1675" s="94"/>
      <c r="B1675" s="111"/>
      <c r="C1675" s="119"/>
      <c r="D1675" s="99"/>
      <c r="E1675" s="176"/>
      <c r="F1675" s="1"/>
      <c r="G1675" s="38" t="s">
        <v>39</v>
      </c>
      <c r="H1675" s="90" t="s">
        <v>40</v>
      </c>
      <c r="I1675" s="241">
        <f>SUM(I1674)</f>
        <v>600000</v>
      </c>
      <c r="J1675" s="161"/>
      <c r="K1675" s="187">
        <f>SUM(I1675:J1675)</f>
        <v>600000</v>
      </c>
      <c r="L1675" s="27"/>
      <c r="M1675" s="1223"/>
      <c r="N1675" s="61"/>
      <c r="O1675" s="61"/>
    </row>
    <row r="1676" spans="1:15" s="642" customFormat="1" x14ac:dyDescent="0.2">
      <c r="A1676" s="583"/>
      <c r="B1676" s="781"/>
      <c r="C1676" s="121"/>
      <c r="D1676" s="101"/>
      <c r="E1676" s="177"/>
      <c r="F1676" s="42"/>
      <c r="G1676" s="43"/>
      <c r="H1676" s="97" t="s">
        <v>688</v>
      </c>
      <c r="I1676" s="179">
        <f>SUM(I1675)</f>
        <v>600000</v>
      </c>
      <c r="J1676" s="162"/>
      <c r="K1676" s="162">
        <f>SUM(I1676:J1676)</f>
        <v>600000</v>
      </c>
      <c r="L1676" s="27"/>
      <c r="M1676" s="1223"/>
      <c r="N1676" s="61"/>
      <c r="O1676" s="61"/>
    </row>
    <row r="1677" spans="1:15" s="642" customFormat="1" x14ac:dyDescent="0.2">
      <c r="A1677" s="94"/>
      <c r="B1677" s="111"/>
      <c r="C1677" s="119"/>
      <c r="D1677" s="99"/>
      <c r="E1677" s="176"/>
      <c r="F1677" s="1"/>
      <c r="G1677" s="38"/>
      <c r="H1677" s="44"/>
      <c r="I1677" s="481"/>
      <c r="J1677" s="47"/>
      <c r="K1677" s="200"/>
      <c r="L1677" s="27"/>
      <c r="M1677" s="1223"/>
      <c r="N1677" s="61"/>
      <c r="O1677" s="61"/>
    </row>
    <row r="1678" spans="1:15" s="642" customFormat="1" ht="22.5" x14ac:dyDescent="0.2">
      <c r="A1678" s="94"/>
      <c r="B1678" s="111"/>
      <c r="C1678" s="119"/>
      <c r="D1678" s="99"/>
      <c r="E1678" s="176"/>
      <c r="F1678" s="1"/>
      <c r="G1678" s="1"/>
      <c r="H1678" s="1093" t="s">
        <v>893</v>
      </c>
      <c r="I1678" s="289"/>
      <c r="J1678" s="156"/>
      <c r="K1678" s="157"/>
      <c r="L1678" s="27"/>
      <c r="M1678" s="1223"/>
      <c r="N1678" s="61"/>
      <c r="O1678" s="61"/>
    </row>
    <row r="1679" spans="1:15" s="642" customFormat="1" x14ac:dyDescent="0.2">
      <c r="A1679" s="583"/>
      <c r="B1679" s="781"/>
      <c r="C1679" s="121"/>
      <c r="D1679" s="101"/>
      <c r="E1679" s="177"/>
      <c r="F1679" s="124">
        <v>315</v>
      </c>
      <c r="G1679" s="154" t="s">
        <v>332</v>
      </c>
      <c r="H1679" s="90" t="s">
        <v>20</v>
      </c>
      <c r="I1679" s="241">
        <v>1000</v>
      </c>
      <c r="J1679" s="160"/>
      <c r="K1679" s="187">
        <f>SUM(I1679:J1679)</f>
        <v>1000</v>
      </c>
      <c r="L1679" s="26"/>
      <c r="M1679" s="1223"/>
      <c r="N1679" s="61"/>
      <c r="O1679" s="61"/>
    </row>
    <row r="1680" spans="1:15" s="642" customFormat="1" x14ac:dyDescent="0.2">
      <c r="A1680" s="94"/>
      <c r="B1680" s="111"/>
      <c r="C1680" s="119"/>
      <c r="D1680" s="99"/>
      <c r="E1680" s="176"/>
      <c r="F1680" s="1"/>
      <c r="G1680" s="38" t="s">
        <v>39</v>
      </c>
      <c r="H1680" s="90" t="s">
        <v>40</v>
      </c>
      <c r="I1680" s="241">
        <f>SUM(I1679)</f>
        <v>1000</v>
      </c>
      <c r="J1680" s="161"/>
      <c r="K1680" s="187">
        <f>SUM(I1680:J1680)</f>
        <v>1000</v>
      </c>
      <c r="L1680" s="27"/>
      <c r="M1680" s="1223"/>
      <c r="N1680" s="61"/>
      <c r="O1680" s="61"/>
    </row>
    <row r="1681" spans="1:15" s="642" customFormat="1" x14ac:dyDescent="0.2">
      <c r="A1681" s="583"/>
      <c r="B1681" s="781"/>
      <c r="C1681" s="121"/>
      <c r="D1681" s="101"/>
      <c r="E1681" s="177"/>
      <c r="F1681" s="42"/>
      <c r="G1681" s="43"/>
      <c r="H1681" s="97" t="s">
        <v>689</v>
      </c>
      <c r="I1681" s="179">
        <f>SUM(I1680)</f>
        <v>1000</v>
      </c>
      <c r="J1681" s="162"/>
      <c r="K1681" s="162">
        <f>SUM(I1681:J1681)</f>
        <v>1000</v>
      </c>
      <c r="L1681" s="27"/>
      <c r="M1681" s="1223"/>
      <c r="N1681" s="61"/>
      <c r="O1681" s="61"/>
    </row>
    <row r="1682" spans="1:15" s="642" customFormat="1" x14ac:dyDescent="0.2">
      <c r="A1682" s="94"/>
      <c r="B1682" s="111"/>
      <c r="C1682" s="119"/>
      <c r="D1682" s="99"/>
      <c r="E1682" s="176"/>
      <c r="F1682" s="1"/>
      <c r="G1682" s="38"/>
      <c r="H1682" s="44"/>
      <c r="I1682" s="481"/>
      <c r="J1682" s="47"/>
      <c r="K1682" s="200"/>
      <c r="L1682" s="27"/>
      <c r="M1682" s="1223"/>
      <c r="N1682" s="61"/>
      <c r="O1682" s="61"/>
    </row>
    <row r="1683" spans="1:15" s="642" customFormat="1" ht="22.5" x14ac:dyDescent="0.2">
      <c r="A1683" s="94"/>
      <c r="B1683" s="111"/>
      <c r="C1683" s="119"/>
      <c r="D1683" s="99"/>
      <c r="E1683" s="176"/>
      <c r="F1683" s="1"/>
      <c r="G1683" s="1"/>
      <c r="H1683" s="1093" t="s">
        <v>894</v>
      </c>
      <c r="I1683" s="289"/>
      <c r="J1683" s="156"/>
      <c r="K1683" s="157"/>
      <c r="L1683" s="27"/>
      <c r="M1683" s="1223"/>
      <c r="N1683" s="61"/>
      <c r="O1683" s="61"/>
    </row>
    <row r="1684" spans="1:15" s="642" customFormat="1" x14ac:dyDescent="0.2">
      <c r="A1684" s="583"/>
      <c r="B1684" s="781"/>
      <c r="C1684" s="121"/>
      <c r="D1684" s="101"/>
      <c r="E1684" s="177"/>
      <c r="F1684" s="124">
        <v>316</v>
      </c>
      <c r="G1684" s="154" t="s">
        <v>332</v>
      </c>
      <c r="H1684" s="90" t="s">
        <v>20</v>
      </c>
      <c r="I1684" s="241">
        <v>1000</v>
      </c>
      <c r="J1684" s="160"/>
      <c r="K1684" s="187">
        <f>SUM(I1684:J1684)</f>
        <v>1000</v>
      </c>
      <c r="L1684" s="26"/>
      <c r="M1684" s="1223"/>
      <c r="N1684" s="61"/>
      <c r="O1684" s="61"/>
    </row>
    <row r="1685" spans="1:15" s="642" customFormat="1" x14ac:dyDescent="0.2">
      <c r="A1685" s="94"/>
      <c r="B1685" s="111"/>
      <c r="C1685" s="119"/>
      <c r="D1685" s="99"/>
      <c r="E1685" s="176"/>
      <c r="F1685" s="1"/>
      <c r="G1685" s="38" t="s">
        <v>39</v>
      </c>
      <c r="H1685" s="90" t="s">
        <v>40</v>
      </c>
      <c r="I1685" s="241">
        <f>SUM(I1684)</f>
        <v>1000</v>
      </c>
      <c r="J1685" s="161"/>
      <c r="K1685" s="187">
        <f>SUM(I1685:J1685)</f>
        <v>1000</v>
      </c>
      <c r="L1685" s="27"/>
      <c r="M1685" s="1223"/>
      <c r="N1685" s="61"/>
      <c r="O1685" s="61"/>
    </row>
    <row r="1686" spans="1:15" s="642" customFormat="1" x14ac:dyDescent="0.2">
      <c r="A1686" s="583"/>
      <c r="B1686" s="781"/>
      <c r="C1686" s="121"/>
      <c r="D1686" s="101"/>
      <c r="E1686" s="177"/>
      <c r="F1686" s="42"/>
      <c r="G1686" s="43"/>
      <c r="H1686" s="97" t="s">
        <v>690</v>
      </c>
      <c r="I1686" s="179">
        <f>SUM(I1685)</f>
        <v>1000</v>
      </c>
      <c r="J1686" s="162"/>
      <c r="K1686" s="162">
        <f>SUM(I1686:J1686)</f>
        <v>1000</v>
      </c>
      <c r="L1686" s="27"/>
      <c r="M1686" s="1223"/>
      <c r="N1686" s="61"/>
      <c r="O1686" s="61"/>
    </row>
    <row r="1687" spans="1:15" x14ac:dyDescent="0.2">
      <c r="A1687" s="106"/>
      <c r="B1687" s="113"/>
      <c r="C1687" s="122"/>
      <c r="D1687" s="103"/>
      <c r="E1687" s="250"/>
      <c r="F1687" s="46"/>
      <c r="G1687" s="64"/>
      <c r="H1687" s="55"/>
      <c r="I1687" s="69"/>
      <c r="J1687" s="63"/>
      <c r="K1687" s="203"/>
    </row>
    <row r="1688" spans="1:15" s="642" customFormat="1" ht="33.75" x14ac:dyDescent="0.2">
      <c r="A1688" s="94"/>
      <c r="B1688" s="111"/>
      <c r="C1688" s="119"/>
      <c r="D1688" s="99"/>
      <c r="E1688" s="176"/>
      <c r="F1688" s="1"/>
      <c r="G1688" s="1"/>
      <c r="H1688" s="1093" t="s">
        <v>895</v>
      </c>
      <c r="I1688" s="289"/>
      <c r="J1688" s="156"/>
      <c r="K1688" s="157"/>
      <c r="L1688" s="27"/>
      <c r="M1688" s="1223"/>
      <c r="N1688" s="61"/>
      <c r="O1688" s="61"/>
    </row>
    <row r="1689" spans="1:15" s="642" customFormat="1" x14ac:dyDescent="0.2">
      <c r="A1689" s="583"/>
      <c r="B1689" s="781"/>
      <c r="C1689" s="121"/>
      <c r="D1689" s="101"/>
      <c r="E1689" s="177"/>
      <c r="F1689" s="124">
        <v>317</v>
      </c>
      <c r="G1689" s="521" t="s">
        <v>332</v>
      </c>
      <c r="H1689" s="90" t="s">
        <v>20</v>
      </c>
      <c r="I1689" s="241">
        <v>500000</v>
      </c>
      <c r="J1689" s="160"/>
      <c r="K1689" s="187">
        <f>SUM(I1689:J1689)</f>
        <v>500000</v>
      </c>
      <c r="L1689" s="27"/>
      <c r="M1689" s="1223"/>
      <c r="N1689" s="61"/>
      <c r="O1689" s="61"/>
    </row>
    <row r="1690" spans="1:15" s="642" customFormat="1" x14ac:dyDescent="0.2">
      <c r="A1690" s="94"/>
      <c r="B1690" s="111"/>
      <c r="C1690" s="119"/>
      <c r="D1690" s="99"/>
      <c r="E1690" s="176"/>
      <c r="F1690" s="1"/>
      <c r="G1690" s="38" t="s">
        <v>39</v>
      </c>
      <c r="H1690" s="90" t="s">
        <v>40</v>
      </c>
      <c r="I1690" s="241">
        <f>SUM(I1689)</f>
        <v>500000</v>
      </c>
      <c r="J1690" s="161"/>
      <c r="K1690" s="187">
        <f>SUM(I1690:J1690)</f>
        <v>500000</v>
      </c>
      <c r="L1690" s="27"/>
      <c r="M1690" s="1223"/>
      <c r="N1690" s="61"/>
      <c r="O1690" s="61"/>
    </row>
    <row r="1691" spans="1:15" s="642" customFormat="1" x14ac:dyDescent="0.2">
      <c r="A1691" s="583"/>
      <c r="B1691" s="781"/>
      <c r="C1691" s="121"/>
      <c r="D1691" s="101"/>
      <c r="E1691" s="177"/>
      <c r="F1691" s="42"/>
      <c r="G1691" s="43"/>
      <c r="H1691" s="97" t="s">
        <v>853</v>
      </c>
      <c r="I1691" s="179">
        <f>SUM(I1690)</f>
        <v>500000</v>
      </c>
      <c r="J1691" s="162"/>
      <c r="K1691" s="162">
        <f>SUM(I1691:J1691)</f>
        <v>500000</v>
      </c>
      <c r="L1691" s="27"/>
      <c r="M1691" s="1223"/>
      <c r="N1691" s="61"/>
      <c r="O1691" s="61"/>
    </row>
    <row r="1692" spans="1:15" s="642" customFormat="1" ht="27" customHeight="1" x14ac:dyDescent="0.2">
      <c r="A1692" s="94"/>
      <c r="B1692" s="111"/>
      <c r="C1692" s="119"/>
      <c r="D1692" s="99"/>
      <c r="E1692" s="176"/>
      <c r="F1692" s="1"/>
      <c r="G1692" s="38"/>
      <c r="H1692" s="44"/>
      <c r="I1692" s="481"/>
      <c r="J1692" s="47"/>
      <c r="K1692" s="200"/>
      <c r="L1692" s="27"/>
      <c r="M1692" s="1223"/>
      <c r="N1692" s="61"/>
      <c r="O1692" s="61"/>
    </row>
    <row r="1693" spans="1:15" s="642" customFormat="1" ht="22.5" x14ac:dyDescent="0.2">
      <c r="A1693" s="94"/>
      <c r="B1693" s="111"/>
      <c r="C1693" s="119"/>
      <c r="D1693" s="99"/>
      <c r="E1693" s="176"/>
      <c r="F1693" s="1"/>
      <c r="G1693" s="1"/>
      <c r="H1693" s="1095" t="s">
        <v>896</v>
      </c>
      <c r="I1693" s="286"/>
      <c r="J1693" s="158"/>
      <c r="K1693" s="159"/>
      <c r="L1693" s="27"/>
      <c r="M1693" s="1223"/>
      <c r="N1693" s="61"/>
      <c r="O1693" s="61"/>
    </row>
    <row r="1694" spans="1:15" s="642" customFormat="1" x14ac:dyDescent="0.2">
      <c r="A1694" s="583"/>
      <c r="B1694" s="781"/>
      <c r="C1694" s="121"/>
      <c r="D1694" s="101"/>
      <c r="E1694" s="177"/>
      <c r="F1694" s="124">
        <v>318</v>
      </c>
      <c r="G1694" s="521" t="s">
        <v>332</v>
      </c>
      <c r="H1694" s="1098" t="s">
        <v>20</v>
      </c>
      <c r="I1694" s="1099">
        <v>500000</v>
      </c>
      <c r="J1694" s="1100"/>
      <c r="K1694" s="1100">
        <f>SUM(I1694:J1694)</f>
        <v>500000</v>
      </c>
      <c r="L1694" s="27"/>
      <c r="M1694" s="1223"/>
      <c r="N1694" s="61"/>
      <c r="O1694" s="61"/>
    </row>
    <row r="1695" spans="1:15" s="642" customFormat="1" x14ac:dyDescent="0.2">
      <c r="A1695" s="94"/>
      <c r="B1695" s="111"/>
      <c r="C1695" s="119"/>
      <c r="D1695" s="99"/>
      <c r="E1695" s="176"/>
      <c r="F1695" s="1"/>
      <c r="G1695" s="38" t="s">
        <v>39</v>
      </c>
      <c r="H1695" s="90" t="s">
        <v>40</v>
      </c>
      <c r="I1695" s="241">
        <f>SUM(I1694)</f>
        <v>500000</v>
      </c>
      <c r="J1695" s="161"/>
      <c r="K1695" s="187">
        <f>SUM(I1695:J1695)</f>
        <v>500000</v>
      </c>
      <c r="L1695" s="27"/>
      <c r="M1695" s="1223"/>
      <c r="N1695" s="61"/>
      <c r="O1695" s="61"/>
    </row>
    <row r="1696" spans="1:15" s="642" customFormat="1" x14ac:dyDescent="0.2">
      <c r="A1696" s="583"/>
      <c r="B1696" s="781"/>
      <c r="C1696" s="121"/>
      <c r="D1696" s="101"/>
      <c r="E1696" s="177"/>
      <c r="F1696" s="42"/>
      <c r="G1696" s="43"/>
      <c r="H1696" s="97" t="s">
        <v>691</v>
      </c>
      <c r="I1696" s="179">
        <f>SUM(I1695)</f>
        <v>500000</v>
      </c>
      <c r="J1696" s="162"/>
      <c r="K1696" s="162">
        <f>SUM(I1696:J1696)</f>
        <v>500000</v>
      </c>
      <c r="L1696" s="27"/>
      <c r="M1696" s="1223"/>
      <c r="N1696" s="61"/>
      <c r="O1696" s="61"/>
    </row>
    <row r="1697" spans="1:15" x14ac:dyDescent="0.2">
      <c r="A1697" s="106"/>
      <c r="B1697" s="113"/>
      <c r="C1697" s="122"/>
      <c r="D1697" s="103"/>
      <c r="E1697" s="250"/>
      <c r="F1697" s="46"/>
      <c r="G1697" s="64"/>
      <c r="H1697" s="55"/>
      <c r="I1697" s="69"/>
      <c r="J1697" s="63"/>
      <c r="K1697" s="203"/>
    </row>
    <row r="1698" spans="1:15" ht="33.75" x14ac:dyDescent="0.2">
      <c r="A1698" s="106"/>
      <c r="B1698" s="113"/>
      <c r="C1698" s="122"/>
      <c r="D1698" s="103"/>
      <c r="E1698" s="250"/>
      <c r="F1698" s="1"/>
      <c r="G1698" s="1"/>
      <c r="H1698" s="1093" t="s">
        <v>897</v>
      </c>
      <c r="I1698" s="289"/>
      <c r="J1698" s="156"/>
      <c r="K1698" s="157"/>
    </row>
    <row r="1699" spans="1:15" x14ac:dyDescent="0.2">
      <c r="A1699" s="107"/>
      <c r="B1699" s="114"/>
      <c r="C1699" s="123"/>
      <c r="D1699" s="104"/>
      <c r="E1699" s="253"/>
      <c r="F1699" s="124">
        <v>319</v>
      </c>
      <c r="G1699" s="154" t="s">
        <v>332</v>
      </c>
      <c r="H1699" s="90" t="s">
        <v>20</v>
      </c>
      <c r="I1699" s="241">
        <v>1000</v>
      </c>
      <c r="J1699" s="160"/>
      <c r="K1699" s="187">
        <f>SUM(I1699:J1699)</f>
        <v>1000</v>
      </c>
    </row>
    <row r="1700" spans="1:15" x14ac:dyDescent="0.2">
      <c r="A1700" s="106"/>
      <c r="B1700" s="113"/>
      <c r="C1700" s="122"/>
      <c r="D1700" s="103"/>
      <c r="E1700" s="250"/>
      <c r="F1700" s="1"/>
      <c r="G1700" s="38" t="s">
        <v>39</v>
      </c>
      <c r="H1700" s="90" t="s">
        <v>40</v>
      </c>
      <c r="I1700" s="241">
        <f>SUM(I1699)</f>
        <v>1000</v>
      </c>
      <c r="J1700" s="161"/>
      <c r="K1700" s="187">
        <f>SUM(I1700:J1700)</f>
        <v>1000</v>
      </c>
    </row>
    <row r="1701" spans="1:15" x14ac:dyDescent="0.2">
      <c r="A1701" s="107"/>
      <c r="B1701" s="114"/>
      <c r="C1701" s="123"/>
      <c r="D1701" s="104"/>
      <c r="E1701" s="253"/>
      <c r="F1701" s="42"/>
      <c r="G1701" s="43"/>
      <c r="H1701" s="97" t="s">
        <v>692</v>
      </c>
      <c r="I1701" s="179">
        <f>SUM(I1700)</f>
        <v>1000</v>
      </c>
      <c r="J1701" s="162"/>
      <c r="K1701" s="162">
        <f>SUM(I1701:J1701)</f>
        <v>1000</v>
      </c>
    </row>
    <row r="1702" spans="1:15" x14ac:dyDescent="0.2">
      <c r="A1702" s="106"/>
      <c r="B1702" s="113"/>
      <c r="C1702" s="122"/>
      <c r="D1702" s="103"/>
      <c r="E1702" s="250"/>
      <c r="F1702" s="46"/>
      <c r="G1702" s="64"/>
      <c r="H1702" s="55"/>
      <c r="I1702" s="69"/>
      <c r="J1702" s="63"/>
      <c r="K1702" s="203"/>
    </row>
    <row r="1703" spans="1:15" ht="22.5" x14ac:dyDescent="0.2">
      <c r="A1703" s="106"/>
      <c r="B1703" s="113"/>
      <c r="C1703" s="122"/>
      <c r="D1703" s="103"/>
      <c r="E1703" s="250"/>
      <c r="F1703" s="1"/>
      <c r="G1703" s="1"/>
      <c r="H1703" s="1093" t="s">
        <v>1120</v>
      </c>
      <c r="I1703" s="289"/>
      <c r="J1703" s="156"/>
      <c r="K1703" s="157"/>
    </row>
    <row r="1704" spans="1:15" x14ac:dyDescent="0.2">
      <c r="A1704" s="106"/>
      <c r="B1704" s="113"/>
      <c r="C1704" s="122"/>
      <c r="D1704" s="103"/>
      <c r="E1704" s="250"/>
      <c r="F1704" s="95" t="s">
        <v>1121</v>
      </c>
      <c r="G1704" s="95">
        <v>424</v>
      </c>
      <c r="H1704" s="90" t="s">
        <v>10</v>
      </c>
      <c r="I1704" s="241">
        <v>50000</v>
      </c>
      <c r="J1704" s="187"/>
      <c r="K1704" s="187">
        <f>SUM(I1704:J1704)</f>
        <v>50000</v>
      </c>
    </row>
    <row r="1705" spans="1:15" x14ac:dyDescent="0.2">
      <c r="A1705" s="107"/>
      <c r="B1705" s="114"/>
      <c r="C1705" s="123"/>
      <c r="D1705" s="104"/>
      <c r="E1705" s="253"/>
      <c r="F1705" s="124">
        <v>320</v>
      </c>
      <c r="G1705" s="154" t="s">
        <v>332</v>
      </c>
      <c r="H1705" s="90" t="s">
        <v>20</v>
      </c>
      <c r="I1705" s="241">
        <v>1437625</v>
      </c>
      <c r="J1705" s="160"/>
      <c r="K1705" s="187">
        <f>SUM(I1705:J1705)</f>
        <v>1437625</v>
      </c>
    </row>
    <row r="1706" spans="1:15" x14ac:dyDescent="0.2">
      <c r="A1706" s="106"/>
      <c r="B1706" s="113"/>
      <c r="C1706" s="122"/>
      <c r="D1706" s="103"/>
      <c r="E1706" s="250"/>
      <c r="F1706" s="1"/>
      <c r="G1706" s="38" t="s">
        <v>39</v>
      </c>
      <c r="H1706" s="90" t="s">
        <v>40</v>
      </c>
      <c r="I1706" s="241">
        <f>SUM(I1704:I1705)</f>
        <v>1487625</v>
      </c>
      <c r="J1706" s="161"/>
      <c r="K1706" s="187">
        <f>SUM(I1706:J1706)</f>
        <v>1487625</v>
      </c>
    </row>
    <row r="1707" spans="1:15" x14ac:dyDescent="0.2">
      <c r="A1707" s="107"/>
      <c r="B1707" s="114"/>
      <c r="C1707" s="123"/>
      <c r="D1707" s="104"/>
      <c r="E1707" s="253"/>
      <c r="F1707" s="42"/>
      <c r="G1707" s="43"/>
      <c r="H1707" s="97" t="s">
        <v>719</v>
      </c>
      <c r="I1707" s="179">
        <f>SUM(I1706)</f>
        <v>1487625</v>
      </c>
      <c r="J1707" s="162"/>
      <c r="K1707" s="162">
        <f>SUM(I1707:J1707)</f>
        <v>1487625</v>
      </c>
    </row>
    <row r="1708" spans="1:15" x14ac:dyDescent="0.2">
      <c r="A1708" s="106"/>
      <c r="B1708" s="113"/>
      <c r="C1708" s="122"/>
      <c r="D1708" s="103"/>
      <c r="E1708" s="250"/>
      <c r="F1708" s="46"/>
      <c r="G1708" s="64"/>
      <c r="H1708" s="55"/>
      <c r="I1708" s="69"/>
      <c r="J1708" s="63"/>
      <c r="K1708" s="203"/>
    </row>
    <row r="1709" spans="1:15" s="642" customFormat="1" x14ac:dyDescent="0.2">
      <c r="A1709" s="94"/>
      <c r="B1709" s="111"/>
      <c r="C1709" s="119"/>
      <c r="D1709" s="99"/>
      <c r="E1709" s="176"/>
      <c r="F1709" s="1"/>
      <c r="G1709" s="1"/>
      <c r="H1709" s="1093" t="s">
        <v>898</v>
      </c>
      <c r="I1709" s="289"/>
      <c r="J1709" s="156"/>
      <c r="K1709" s="157"/>
      <c r="L1709" s="27"/>
      <c r="M1709" s="1223"/>
      <c r="N1709" s="61"/>
      <c r="O1709" s="61"/>
    </row>
    <row r="1710" spans="1:15" s="642" customFormat="1" x14ac:dyDescent="0.2">
      <c r="A1710" s="583"/>
      <c r="B1710" s="781"/>
      <c r="C1710" s="121"/>
      <c r="D1710" s="101"/>
      <c r="E1710" s="177"/>
      <c r="F1710" s="124">
        <v>321</v>
      </c>
      <c r="G1710" s="154" t="s">
        <v>333</v>
      </c>
      <c r="H1710" s="90" t="s">
        <v>22</v>
      </c>
      <c r="I1710" s="241">
        <v>500000</v>
      </c>
      <c r="J1710" s="160"/>
      <c r="K1710" s="187">
        <f>SUM(I1710:J1710)</f>
        <v>500000</v>
      </c>
      <c r="L1710" s="27"/>
      <c r="M1710" s="1223"/>
      <c r="N1710" s="61"/>
      <c r="O1710" s="61"/>
    </row>
    <row r="1711" spans="1:15" s="642" customFormat="1" x14ac:dyDescent="0.2">
      <c r="A1711" s="919"/>
      <c r="B1711" s="787"/>
      <c r="C1711" s="120"/>
      <c r="D1711" s="100"/>
      <c r="E1711" s="246"/>
      <c r="F1711" s="41"/>
      <c r="G1711" s="45" t="s">
        <v>39</v>
      </c>
      <c r="H1711" s="90" t="s">
        <v>40</v>
      </c>
      <c r="I1711" s="241">
        <f>SUM(I1710)</f>
        <v>500000</v>
      </c>
      <c r="J1711" s="161"/>
      <c r="K1711" s="187">
        <f>SUM(I1711:J1711)</f>
        <v>500000</v>
      </c>
      <c r="L1711" s="27"/>
      <c r="M1711" s="1223"/>
      <c r="N1711" s="61"/>
      <c r="O1711" s="61"/>
    </row>
    <row r="1712" spans="1:15" s="642" customFormat="1" x14ac:dyDescent="0.2">
      <c r="A1712" s="583"/>
      <c r="B1712" s="781"/>
      <c r="C1712" s="121"/>
      <c r="D1712" s="101"/>
      <c r="E1712" s="177"/>
      <c r="F1712" s="42"/>
      <c r="G1712" s="43"/>
      <c r="H1712" s="97" t="s">
        <v>720</v>
      </c>
      <c r="I1712" s="179">
        <f>SUM(I1711)</f>
        <v>500000</v>
      </c>
      <c r="J1712" s="162"/>
      <c r="K1712" s="162">
        <f>SUM(I1712:J1712)</f>
        <v>500000</v>
      </c>
      <c r="L1712" s="27"/>
      <c r="M1712" s="1223"/>
      <c r="N1712" s="61"/>
      <c r="O1712" s="61"/>
    </row>
    <row r="1713" spans="1:15" s="642" customFormat="1" x14ac:dyDescent="0.2">
      <c r="A1713" s="94"/>
      <c r="B1713" s="111"/>
      <c r="C1713" s="119"/>
      <c r="D1713" s="99"/>
      <c r="E1713" s="176"/>
      <c r="F1713" s="1"/>
      <c r="G1713" s="38"/>
      <c r="H1713" s="44"/>
      <c r="I1713" s="481"/>
      <c r="J1713" s="47"/>
      <c r="K1713" s="200"/>
      <c r="L1713" s="27"/>
      <c r="M1713" s="1223"/>
      <c r="N1713" s="61"/>
      <c r="O1713" s="61"/>
    </row>
    <row r="1714" spans="1:15" s="642" customFormat="1" ht="33.75" x14ac:dyDescent="0.2">
      <c r="A1714" s="94"/>
      <c r="B1714" s="111"/>
      <c r="C1714" s="119"/>
      <c r="D1714" s="99"/>
      <c r="E1714" s="176"/>
      <c r="F1714" s="1"/>
      <c r="G1714" s="1"/>
      <c r="H1714" s="1093" t="s">
        <v>899</v>
      </c>
      <c r="I1714" s="289"/>
      <c r="J1714" s="156"/>
      <c r="K1714" s="157"/>
      <c r="L1714" s="27"/>
      <c r="M1714" s="1223"/>
      <c r="N1714" s="61"/>
      <c r="O1714" s="61"/>
    </row>
    <row r="1715" spans="1:15" s="642" customFormat="1" x14ac:dyDescent="0.2">
      <c r="A1715" s="583"/>
      <c r="B1715" s="781"/>
      <c r="C1715" s="121"/>
      <c r="D1715" s="101"/>
      <c r="E1715" s="177"/>
      <c r="F1715" s="124">
        <v>322</v>
      </c>
      <c r="G1715" s="154" t="s">
        <v>51</v>
      </c>
      <c r="H1715" s="90" t="s">
        <v>10</v>
      </c>
      <c r="I1715" s="241">
        <v>1000</v>
      </c>
      <c r="J1715" s="160"/>
      <c r="K1715" s="187">
        <f>SUM(I1715:J1715)</f>
        <v>1000</v>
      </c>
      <c r="L1715" s="26"/>
      <c r="M1715" s="1223"/>
      <c r="N1715" s="61"/>
      <c r="O1715" s="61"/>
    </row>
    <row r="1716" spans="1:15" s="642" customFormat="1" x14ac:dyDescent="0.2">
      <c r="A1716" s="94"/>
      <c r="B1716" s="111"/>
      <c r="C1716" s="119"/>
      <c r="D1716" s="99"/>
      <c r="E1716" s="176"/>
      <c r="F1716" s="1"/>
      <c r="G1716" s="38" t="s">
        <v>39</v>
      </c>
      <c r="H1716" s="90" t="s">
        <v>40</v>
      </c>
      <c r="I1716" s="241">
        <f>SUM(I1715)</f>
        <v>1000</v>
      </c>
      <c r="J1716" s="161"/>
      <c r="K1716" s="187">
        <f>SUM(I1716:J1716)</f>
        <v>1000</v>
      </c>
      <c r="L1716" s="27"/>
      <c r="M1716" s="1223"/>
      <c r="N1716" s="61"/>
      <c r="O1716" s="61"/>
    </row>
    <row r="1717" spans="1:15" s="642" customFormat="1" x14ac:dyDescent="0.2">
      <c r="A1717" s="583"/>
      <c r="B1717" s="781"/>
      <c r="C1717" s="121"/>
      <c r="D1717" s="101"/>
      <c r="E1717" s="177"/>
      <c r="F1717" s="42"/>
      <c r="G1717" s="43"/>
      <c r="H1717" s="97" t="s">
        <v>693</v>
      </c>
      <c r="I1717" s="179">
        <f>SUM(I1716)</f>
        <v>1000</v>
      </c>
      <c r="J1717" s="162"/>
      <c r="K1717" s="162">
        <f>SUM(I1717:J1717)</f>
        <v>1000</v>
      </c>
      <c r="L1717" s="27"/>
      <c r="M1717" s="1223"/>
      <c r="N1717" s="61"/>
      <c r="O1717" s="61"/>
    </row>
    <row r="1718" spans="1:15" s="642" customFormat="1" x14ac:dyDescent="0.2">
      <c r="A1718" s="94"/>
      <c r="B1718" s="111"/>
      <c r="C1718" s="119"/>
      <c r="D1718" s="99"/>
      <c r="E1718" s="176"/>
      <c r="F1718" s="1"/>
      <c r="G1718" s="38"/>
      <c r="H1718" s="44"/>
      <c r="I1718" s="481"/>
      <c r="J1718" s="47"/>
      <c r="K1718" s="200"/>
      <c r="L1718" s="27"/>
      <c r="M1718" s="1223"/>
      <c r="N1718" s="61"/>
      <c r="O1718" s="61"/>
    </row>
    <row r="1719" spans="1:15" s="642" customFormat="1" ht="22.5" x14ac:dyDescent="0.2">
      <c r="A1719" s="94"/>
      <c r="B1719" s="111"/>
      <c r="C1719" s="119"/>
      <c r="D1719" s="99"/>
      <c r="E1719" s="176"/>
      <c r="F1719" s="1"/>
      <c r="G1719" s="1"/>
      <c r="H1719" s="1093" t="s">
        <v>980</v>
      </c>
      <c r="I1719" s="289"/>
      <c r="J1719" s="156"/>
      <c r="K1719" s="157"/>
      <c r="L1719" s="27"/>
      <c r="M1719" s="1223"/>
      <c r="N1719" s="61"/>
      <c r="O1719" s="61"/>
    </row>
    <row r="1720" spans="1:15" s="642" customFormat="1" x14ac:dyDescent="0.2">
      <c r="A1720" s="94"/>
      <c r="B1720" s="111"/>
      <c r="C1720" s="119"/>
      <c r="D1720" s="99"/>
      <c r="E1720" s="176"/>
      <c r="F1720" s="284">
        <v>323</v>
      </c>
      <c r="G1720" s="284">
        <v>424</v>
      </c>
      <c r="H1720" s="285" t="s">
        <v>10</v>
      </c>
      <c r="I1720" s="241">
        <v>1</v>
      </c>
      <c r="J1720" s="187"/>
      <c r="K1720" s="187">
        <f>SUM(I1720:J1720)</f>
        <v>1</v>
      </c>
      <c r="L1720" s="27"/>
      <c r="M1720" s="1223"/>
      <c r="N1720" s="61"/>
      <c r="O1720" s="61"/>
    </row>
    <row r="1721" spans="1:15" s="642" customFormat="1" x14ac:dyDescent="0.2">
      <c r="A1721" s="583"/>
      <c r="B1721" s="781"/>
      <c r="C1721" s="121"/>
      <c r="D1721" s="101"/>
      <c r="E1721" s="177"/>
      <c r="F1721" s="124">
        <v>324</v>
      </c>
      <c r="G1721" s="154" t="s">
        <v>332</v>
      </c>
      <c r="H1721" s="90" t="s">
        <v>20</v>
      </c>
      <c r="I1721" s="241">
        <v>7603000</v>
      </c>
      <c r="J1721" s="160"/>
      <c r="K1721" s="187">
        <f>SUM(I1721:J1721)</f>
        <v>7603000</v>
      </c>
      <c r="L1721" s="27"/>
      <c r="M1721" s="1223"/>
      <c r="N1721" s="61"/>
      <c r="O1721" s="61"/>
    </row>
    <row r="1722" spans="1:15" s="642" customFormat="1" x14ac:dyDescent="0.2">
      <c r="A1722" s="94"/>
      <c r="B1722" s="111"/>
      <c r="C1722" s="119"/>
      <c r="D1722" s="99"/>
      <c r="E1722" s="176"/>
      <c r="F1722" s="1"/>
      <c r="G1722" s="38" t="s">
        <v>39</v>
      </c>
      <c r="H1722" s="90" t="s">
        <v>40</v>
      </c>
      <c r="I1722" s="241">
        <f>SUM(I1720:I1721)</f>
        <v>7603001</v>
      </c>
      <c r="J1722" s="161"/>
      <c r="K1722" s="187">
        <f>SUM(I1722:J1722)</f>
        <v>7603001</v>
      </c>
      <c r="L1722" s="27"/>
      <c r="M1722" s="1223"/>
      <c r="N1722" s="61"/>
      <c r="O1722" s="61"/>
    </row>
    <row r="1723" spans="1:15" s="642" customFormat="1" x14ac:dyDescent="0.2">
      <c r="A1723" s="583"/>
      <c r="B1723" s="781"/>
      <c r="C1723" s="121"/>
      <c r="D1723" s="101"/>
      <c r="E1723" s="177"/>
      <c r="F1723" s="42"/>
      <c r="G1723" s="43"/>
      <c r="H1723" s="97" t="s">
        <v>694</v>
      </c>
      <c r="I1723" s="179">
        <f>SUM(I1722)</f>
        <v>7603001</v>
      </c>
      <c r="J1723" s="162"/>
      <c r="K1723" s="162">
        <f>SUM(I1723:J1723)</f>
        <v>7603001</v>
      </c>
      <c r="L1723" s="27"/>
      <c r="M1723" s="1223"/>
      <c r="N1723" s="61"/>
      <c r="O1723" s="61"/>
    </row>
    <row r="1724" spans="1:15" x14ac:dyDescent="0.2">
      <c r="A1724" s="106"/>
      <c r="B1724" s="113"/>
      <c r="C1724" s="122"/>
      <c r="D1724" s="103"/>
      <c r="E1724" s="250"/>
      <c r="F1724" s="46"/>
      <c r="G1724" s="64"/>
      <c r="H1724" s="70"/>
      <c r="I1724" s="69"/>
      <c r="J1724" s="66"/>
      <c r="K1724" s="203"/>
    </row>
    <row r="1725" spans="1:15" s="642" customFormat="1" ht="22.5" x14ac:dyDescent="0.2">
      <c r="A1725" s="94"/>
      <c r="B1725" s="111"/>
      <c r="C1725" s="119"/>
      <c r="D1725" s="99"/>
      <c r="E1725" s="176"/>
      <c r="F1725" s="1"/>
      <c r="G1725" s="1"/>
      <c r="H1725" s="1093" t="s">
        <v>983</v>
      </c>
      <c r="I1725" s="289"/>
      <c r="J1725" s="156"/>
      <c r="K1725" s="157"/>
      <c r="L1725" s="27"/>
      <c r="M1725" s="1223"/>
      <c r="N1725" s="61"/>
      <c r="O1725" s="61"/>
    </row>
    <row r="1726" spans="1:15" s="642" customFormat="1" x14ac:dyDescent="0.2">
      <c r="A1726" s="94"/>
      <c r="B1726" s="111"/>
      <c r="C1726" s="119"/>
      <c r="D1726" s="99"/>
      <c r="E1726" s="176"/>
      <c r="F1726" s="284" t="s">
        <v>981</v>
      </c>
      <c r="G1726" s="284">
        <v>424</v>
      </c>
      <c r="H1726" s="285" t="s">
        <v>10</v>
      </c>
      <c r="I1726" s="241">
        <v>1000</v>
      </c>
      <c r="J1726" s="187"/>
      <c r="K1726" s="187">
        <f>SUM(I1726:J1726)</f>
        <v>1000</v>
      </c>
      <c r="L1726" s="26"/>
      <c r="M1726" s="1223"/>
      <c r="N1726" s="61"/>
      <c r="O1726" s="61"/>
    </row>
    <row r="1727" spans="1:15" s="642" customFormat="1" x14ac:dyDescent="0.2">
      <c r="A1727" s="94"/>
      <c r="B1727" s="111"/>
      <c r="C1727" s="119"/>
      <c r="D1727" s="99"/>
      <c r="E1727" s="176"/>
      <c r="F1727" s="124" t="s">
        <v>982</v>
      </c>
      <c r="G1727" s="154" t="s">
        <v>332</v>
      </c>
      <c r="H1727" s="90" t="s">
        <v>20</v>
      </c>
      <c r="I1727" s="241">
        <v>1000</v>
      </c>
      <c r="J1727" s="160"/>
      <c r="K1727" s="187">
        <f>SUM(I1727:J1727)</f>
        <v>1000</v>
      </c>
      <c r="L1727" s="26"/>
      <c r="M1727" s="1223"/>
      <c r="N1727" s="61"/>
      <c r="O1727" s="61"/>
    </row>
    <row r="1728" spans="1:15" s="642" customFormat="1" x14ac:dyDescent="0.2">
      <c r="A1728" s="94"/>
      <c r="B1728" s="111"/>
      <c r="C1728" s="119"/>
      <c r="D1728" s="99"/>
      <c r="E1728" s="176"/>
      <c r="F1728" s="1"/>
      <c r="G1728" s="38" t="s">
        <v>39</v>
      </c>
      <c r="H1728" s="90" t="s">
        <v>40</v>
      </c>
      <c r="I1728" s="241">
        <f>SUM(I1726:I1727)</f>
        <v>2000</v>
      </c>
      <c r="J1728" s="161"/>
      <c r="K1728" s="187">
        <f>SUM(I1728:J1728)</f>
        <v>2000</v>
      </c>
      <c r="L1728" s="27"/>
      <c r="M1728" s="1223"/>
      <c r="N1728" s="61"/>
      <c r="O1728" s="61"/>
    </row>
    <row r="1729" spans="1:15" s="642" customFormat="1" x14ac:dyDescent="0.2">
      <c r="A1729" s="94"/>
      <c r="B1729" s="111"/>
      <c r="C1729" s="119"/>
      <c r="D1729" s="99"/>
      <c r="E1729" s="176"/>
      <c r="F1729" s="42"/>
      <c r="G1729" s="43"/>
      <c r="H1729" s="97" t="s">
        <v>1018</v>
      </c>
      <c r="I1729" s="179">
        <f>SUM(I1728)</f>
        <v>2000</v>
      </c>
      <c r="J1729" s="162"/>
      <c r="K1729" s="162">
        <f>SUM(I1729:J1729)</f>
        <v>2000</v>
      </c>
      <c r="L1729" s="27"/>
      <c r="M1729" s="1223"/>
      <c r="N1729" s="61"/>
      <c r="O1729" s="61"/>
    </row>
    <row r="1730" spans="1:15" s="642" customFormat="1" x14ac:dyDescent="0.2">
      <c r="A1730" s="94"/>
      <c r="B1730" s="111"/>
      <c r="C1730" s="119"/>
      <c r="D1730" s="99"/>
      <c r="E1730" s="176"/>
      <c r="F1730" s="1"/>
      <c r="G1730" s="38"/>
      <c r="H1730" s="29"/>
      <c r="I1730" s="481"/>
      <c r="J1730" s="60"/>
      <c r="K1730" s="200"/>
      <c r="L1730" s="27"/>
      <c r="M1730" s="1223"/>
      <c r="N1730" s="61"/>
      <c r="O1730" s="61"/>
    </row>
    <row r="1731" spans="1:15" s="642" customFormat="1" ht="22.5" x14ac:dyDescent="0.2">
      <c r="A1731" s="94"/>
      <c r="B1731" s="111"/>
      <c r="C1731" s="119"/>
      <c r="D1731" s="99"/>
      <c r="E1731" s="176"/>
      <c r="F1731" s="1"/>
      <c r="G1731" s="1"/>
      <c r="H1731" s="1093" t="s">
        <v>995</v>
      </c>
      <c r="I1731" s="289"/>
      <c r="J1731" s="156"/>
      <c r="K1731" s="157"/>
      <c r="L1731" s="27"/>
      <c r="M1731" s="1223"/>
      <c r="N1731" s="61"/>
      <c r="O1731" s="61"/>
    </row>
    <row r="1732" spans="1:15" s="642" customFormat="1" x14ac:dyDescent="0.2">
      <c r="A1732" s="94"/>
      <c r="B1732" s="111"/>
      <c r="C1732" s="119"/>
      <c r="D1732" s="99"/>
      <c r="E1732" s="176"/>
      <c r="F1732" s="95" t="s">
        <v>993</v>
      </c>
      <c r="G1732" s="95">
        <v>424</v>
      </c>
      <c r="H1732" s="285" t="s">
        <v>10</v>
      </c>
      <c r="I1732" s="241">
        <v>1</v>
      </c>
      <c r="J1732" s="187"/>
      <c r="K1732" s="187">
        <f>SUM(I1732:J1732)</f>
        <v>1</v>
      </c>
      <c r="L1732" s="27"/>
      <c r="M1732" s="1223"/>
      <c r="N1732" s="61"/>
      <c r="O1732" s="61"/>
    </row>
    <row r="1733" spans="1:15" s="642" customFormat="1" x14ac:dyDescent="0.2">
      <c r="A1733" s="94"/>
      <c r="B1733" s="111"/>
      <c r="C1733" s="119"/>
      <c r="D1733" s="99"/>
      <c r="E1733" s="176"/>
      <c r="F1733" s="124" t="s">
        <v>994</v>
      </c>
      <c r="G1733" s="154" t="s">
        <v>332</v>
      </c>
      <c r="H1733" s="90" t="s">
        <v>20</v>
      </c>
      <c r="I1733" s="241">
        <v>48960000</v>
      </c>
      <c r="J1733" s="161"/>
      <c r="K1733" s="187">
        <f t="shared" ref="K1733:K1735" si="89">SUM(I1733:J1733)</f>
        <v>48960000</v>
      </c>
      <c r="L1733" s="27"/>
      <c r="M1733" s="1223"/>
      <c r="N1733" s="61"/>
      <c r="O1733" s="61"/>
    </row>
    <row r="1734" spans="1:15" s="642" customFormat="1" x14ac:dyDescent="0.2">
      <c r="A1734" s="94"/>
      <c r="B1734" s="111"/>
      <c r="C1734" s="119"/>
      <c r="D1734" s="99"/>
      <c r="E1734" s="176"/>
      <c r="F1734" s="1"/>
      <c r="G1734" s="38" t="s">
        <v>39</v>
      </c>
      <c r="H1734" s="90" t="s">
        <v>40</v>
      </c>
      <c r="I1734" s="241">
        <f>SUM(I1736-I1735)</f>
        <v>24960001</v>
      </c>
      <c r="J1734" s="161"/>
      <c r="K1734" s="187">
        <f t="shared" si="89"/>
        <v>24960001</v>
      </c>
      <c r="L1734" s="27"/>
      <c r="M1734" s="1223"/>
      <c r="N1734" s="61"/>
      <c r="O1734" s="61"/>
    </row>
    <row r="1735" spans="1:15" s="642" customFormat="1" x14ac:dyDescent="0.2">
      <c r="A1735" s="94"/>
      <c r="B1735" s="111"/>
      <c r="C1735" s="119"/>
      <c r="D1735" s="99"/>
      <c r="E1735" s="176"/>
      <c r="F1735" s="1"/>
      <c r="G1735" s="38" t="s">
        <v>157</v>
      </c>
      <c r="H1735" s="90" t="s">
        <v>517</v>
      </c>
      <c r="I1735" s="241">
        <v>24000000</v>
      </c>
      <c r="J1735" s="161"/>
      <c r="K1735" s="187">
        <f t="shared" si="89"/>
        <v>24000000</v>
      </c>
      <c r="L1735" s="27"/>
      <c r="M1735" s="1223"/>
      <c r="N1735" s="61"/>
      <c r="O1735" s="61"/>
    </row>
    <row r="1736" spans="1:15" s="642" customFormat="1" x14ac:dyDescent="0.2">
      <c r="A1736" s="94"/>
      <c r="B1736" s="111"/>
      <c r="C1736" s="119"/>
      <c r="D1736" s="99"/>
      <c r="E1736" s="176"/>
      <c r="F1736" s="42"/>
      <c r="G1736" s="43"/>
      <c r="H1736" s="97" t="s">
        <v>1019</v>
      </c>
      <c r="I1736" s="179">
        <f>SUM(I1732:I1733)</f>
        <v>48960001</v>
      </c>
      <c r="J1736" s="162"/>
      <c r="K1736" s="162">
        <f>SUM(I1736:J1736)</f>
        <v>48960001</v>
      </c>
      <c r="L1736" s="27"/>
      <c r="M1736" s="1223"/>
      <c r="N1736" s="61"/>
      <c r="O1736" s="61"/>
    </row>
    <row r="1737" spans="1:15" x14ac:dyDescent="0.2">
      <c r="A1737" s="106"/>
      <c r="B1737" s="113"/>
      <c r="C1737" s="122"/>
      <c r="D1737" s="103"/>
      <c r="E1737" s="250"/>
      <c r="F1737" s="46"/>
      <c r="G1737" s="64"/>
      <c r="H1737" s="70"/>
      <c r="I1737" s="69"/>
      <c r="J1737" s="66"/>
      <c r="K1737" s="203"/>
    </row>
    <row r="1738" spans="1:15" s="642" customFormat="1" x14ac:dyDescent="0.2">
      <c r="A1738" s="94"/>
      <c r="B1738" s="111"/>
      <c r="C1738" s="119"/>
      <c r="D1738" s="99"/>
      <c r="E1738" s="176"/>
      <c r="F1738" s="1"/>
      <c r="G1738" s="1"/>
      <c r="H1738" s="1093" t="s">
        <v>900</v>
      </c>
      <c r="I1738" s="289"/>
      <c r="J1738" s="156"/>
      <c r="K1738" s="157"/>
      <c r="L1738" s="27"/>
      <c r="M1738" s="1223"/>
      <c r="N1738" s="61"/>
      <c r="O1738" s="61"/>
    </row>
    <row r="1739" spans="1:15" s="642" customFormat="1" x14ac:dyDescent="0.2">
      <c r="A1739" s="94"/>
      <c r="B1739" s="111"/>
      <c r="C1739" s="119"/>
      <c r="D1739" s="99"/>
      <c r="E1739" s="176"/>
      <c r="F1739" s="124">
        <v>325</v>
      </c>
      <c r="G1739" s="154" t="s">
        <v>332</v>
      </c>
      <c r="H1739" s="90" t="s">
        <v>20</v>
      </c>
      <c r="I1739" s="241">
        <v>1</v>
      </c>
      <c r="J1739" s="160"/>
      <c r="K1739" s="187">
        <f>SUM(I1739:J1739)</f>
        <v>1</v>
      </c>
      <c r="L1739" s="27"/>
      <c r="M1739" s="1223"/>
      <c r="N1739" s="61"/>
      <c r="O1739" s="61"/>
    </row>
    <row r="1740" spans="1:15" s="642" customFormat="1" x14ac:dyDescent="0.2">
      <c r="A1740" s="94"/>
      <c r="B1740" s="111"/>
      <c r="C1740" s="119"/>
      <c r="D1740" s="99"/>
      <c r="E1740" s="176"/>
      <c r="F1740" s="1"/>
      <c r="G1740" s="38" t="s">
        <v>39</v>
      </c>
      <c r="H1740" s="90" t="s">
        <v>40</v>
      </c>
      <c r="I1740" s="241">
        <f>SUM(I1739:I1739)</f>
        <v>1</v>
      </c>
      <c r="J1740" s="161"/>
      <c r="K1740" s="187">
        <f>SUM(I1740:J1740)</f>
        <v>1</v>
      </c>
      <c r="L1740" s="27"/>
      <c r="M1740" s="1223"/>
      <c r="N1740" s="61"/>
      <c r="O1740" s="61"/>
    </row>
    <row r="1741" spans="1:15" s="642" customFormat="1" x14ac:dyDescent="0.2">
      <c r="A1741" s="94"/>
      <c r="B1741" s="111"/>
      <c r="C1741" s="119"/>
      <c r="D1741" s="99"/>
      <c r="E1741" s="176"/>
      <c r="F1741" s="42"/>
      <c r="G1741" s="43"/>
      <c r="H1741" s="97" t="s">
        <v>854</v>
      </c>
      <c r="I1741" s="179">
        <f>SUM(I1740)</f>
        <v>1</v>
      </c>
      <c r="J1741" s="162"/>
      <c r="K1741" s="162">
        <f>SUM(I1741:J1741)</f>
        <v>1</v>
      </c>
      <c r="L1741" s="27"/>
      <c r="M1741" s="1223"/>
      <c r="N1741" s="61"/>
      <c r="O1741" s="61"/>
    </row>
    <row r="1742" spans="1:15" s="642" customFormat="1" x14ac:dyDescent="0.2">
      <c r="A1742" s="94"/>
      <c r="B1742" s="111"/>
      <c r="C1742" s="119"/>
      <c r="D1742" s="99"/>
      <c r="E1742" s="176"/>
      <c r="F1742" s="1"/>
      <c r="G1742" s="38"/>
      <c r="H1742" s="29"/>
      <c r="I1742" s="481"/>
      <c r="J1742" s="60"/>
      <c r="K1742" s="200"/>
      <c r="L1742" s="27"/>
      <c r="M1742" s="1223"/>
      <c r="N1742" s="61"/>
      <c r="O1742" s="61"/>
    </row>
    <row r="1743" spans="1:15" s="642" customFormat="1" ht="22.5" x14ac:dyDescent="0.2">
      <c r="A1743" s="94"/>
      <c r="B1743" s="111"/>
      <c r="C1743" s="119"/>
      <c r="D1743" s="99"/>
      <c r="E1743" s="176"/>
      <c r="F1743" s="1"/>
      <c r="G1743" s="1"/>
      <c r="H1743" s="1093" t="s">
        <v>901</v>
      </c>
      <c r="I1743" s="1101"/>
      <c r="J1743" s="189"/>
      <c r="K1743" s="1102"/>
      <c r="L1743" s="27"/>
      <c r="M1743" s="1223"/>
      <c r="N1743" s="61"/>
      <c r="O1743" s="61"/>
    </row>
    <row r="1744" spans="1:15" s="642" customFormat="1" x14ac:dyDescent="0.2">
      <c r="A1744" s="583"/>
      <c r="B1744" s="781"/>
      <c r="C1744" s="121"/>
      <c r="D1744" s="101"/>
      <c r="E1744" s="177"/>
      <c r="F1744" s="124">
        <v>326</v>
      </c>
      <c r="G1744" s="154" t="s">
        <v>332</v>
      </c>
      <c r="H1744" s="90" t="s">
        <v>20</v>
      </c>
      <c r="I1744" s="241">
        <v>500000</v>
      </c>
      <c r="J1744" s="160"/>
      <c r="K1744" s="187">
        <f>SUM(I1744:J1744)</f>
        <v>500000</v>
      </c>
      <c r="L1744" s="27"/>
      <c r="M1744" s="1223"/>
      <c r="N1744" s="61"/>
      <c r="O1744" s="61"/>
    </row>
    <row r="1745" spans="1:15" s="642" customFormat="1" x14ac:dyDescent="0.2">
      <c r="A1745" s="94"/>
      <c r="B1745" s="111"/>
      <c r="C1745" s="119"/>
      <c r="D1745" s="99"/>
      <c r="E1745" s="176"/>
      <c r="F1745" s="1"/>
      <c r="G1745" s="38" t="s">
        <v>39</v>
      </c>
      <c r="H1745" s="90" t="s">
        <v>40</v>
      </c>
      <c r="I1745" s="241">
        <f>SUM(I1744)</f>
        <v>500000</v>
      </c>
      <c r="J1745" s="160"/>
      <c r="K1745" s="187">
        <f>SUM(I1745:J1745)</f>
        <v>500000</v>
      </c>
      <c r="L1745" s="27"/>
      <c r="M1745" s="1223"/>
      <c r="N1745" s="61"/>
      <c r="O1745" s="61"/>
    </row>
    <row r="1746" spans="1:15" s="642" customFormat="1" x14ac:dyDescent="0.2">
      <c r="A1746" s="583"/>
      <c r="B1746" s="781"/>
      <c r="C1746" s="121"/>
      <c r="D1746" s="101"/>
      <c r="E1746" s="177"/>
      <c r="F1746" s="42"/>
      <c r="G1746" s="43"/>
      <c r="H1746" s="97" t="s">
        <v>695</v>
      </c>
      <c r="I1746" s="179">
        <f>SUM(I1745)</f>
        <v>500000</v>
      </c>
      <c r="J1746" s="162"/>
      <c r="K1746" s="162">
        <f>SUM(K1745)</f>
        <v>500000</v>
      </c>
      <c r="L1746" s="27"/>
      <c r="M1746" s="1223"/>
      <c r="N1746" s="61"/>
      <c r="O1746" s="61"/>
    </row>
    <row r="1747" spans="1:15" x14ac:dyDescent="0.2">
      <c r="A1747" s="106"/>
      <c r="B1747" s="375"/>
      <c r="C1747" s="122"/>
      <c r="D1747" s="106"/>
      <c r="E1747" s="250"/>
      <c r="F1747" s="46"/>
      <c r="G1747" s="219"/>
      <c r="H1747" s="311"/>
      <c r="I1747" s="219"/>
      <c r="J1747" s="219"/>
      <c r="K1747" s="375"/>
    </row>
    <row r="1748" spans="1:15" x14ac:dyDescent="0.2">
      <c r="A1748" s="106"/>
      <c r="B1748" s="113"/>
      <c r="C1748" s="122"/>
      <c r="D1748" s="103"/>
      <c r="E1748" s="250"/>
      <c r="F1748" s="1"/>
      <c r="G1748" s="1"/>
      <c r="H1748" s="1095" t="s">
        <v>902</v>
      </c>
      <c r="I1748" s="518"/>
      <c r="J1748" s="519"/>
      <c r="K1748" s="520"/>
    </row>
    <row r="1749" spans="1:15" x14ac:dyDescent="0.2">
      <c r="A1749" s="106"/>
      <c r="B1749" s="113"/>
      <c r="C1749" s="122"/>
      <c r="D1749" s="103"/>
      <c r="E1749" s="250"/>
      <c r="F1749" s="284" t="s">
        <v>1122</v>
      </c>
      <c r="G1749" s="284">
        <v>424</v>
      </c>
      <c r="H1749" s="285" t="s">
        <v>10</v>
      </c>
      <c r="I1749" s="241">
        <v>1000</v>
      </c>
      <c r="J1749" s="187"/>
      <c r="K1749" s="187">
        <f>SUM(I1749:J1749)</f>
        <v>1000</v>
      </c>
    </row>
    <row r="1750" spans="1:15" x14ac:dyDescent="0.2">
      <c r="A1750" s="107"/>
      <c r="B1750" s="114"/>
      <c r="C1750" s="123"/>
      <c r="D1750" s="104"/>
      <c r="E1750" s="253"/>
      <c r="F1750" s="124">
        <v>327</v>
      </c>
      <c r="G1750" s="154" t="s">
        <v>332</v>
      </c>
      <c r="H1750" s="90" t="s">
        <v>20</v>
      </c>
      <c r="I1750" s="241">
        <v>1000</v>
      </c>
      <c r="J1750" s="160"/>
      <c r="K1750" s="187">
        <f>SUM(I1750:J1750)</f>
        <v>1000</v>
      </c>
    </row>
    <row r="1751" spans="1:15" x14ac:dyDescent="0.2">
      <c r="A1751" s="106"/>
      <c r="B1751" s="113"/>
      <c r="C1751" s="122"/>
      <c r="D1751" s="103"/>
      <c r="E1751" s="250"/>
      <c r="F1751" s="1"/>
      <c r="G1751" s="38" t="s">
        <v>39</v>
      </c>
      <c r="H1751" s="90" t="s">
        <v>40</v>
      </c>
      <c r="I1751" s="241">
        <f>SUM(I1749:I1750)</f>
        <v>2000</v>
      </c>
      <c r="J1751" s="160"/>
      <c r="K1751" s="187">
        <f>SUM(I1751:J1751)</f>
        <v>2000</v>
      </c>
    </row>
    <row r="1752" spans="1:15" x14ac:dyDescent="0.2">
      <c r="A1752" s="107"/>
      <c r="B1752" s="114"/>
      <c r="C1752" s="123"/>
      <c r="D1752" s="104"/>
      <c r="E1752" s="253"/>
      <c r="F1752" s="42"/>
      <c r="G1752" s="43"/>
      <c r="H1752" s="97" t="s">
        <v>696</v>
      </c>
      <c r="I1752" s="179">
        <f>SUM(I1751)</f>
        <v>2000</v>
      </c>
      <c r="J1752" s="162"/>
      <c r="K1752" s="162">
        <f>SUM(K1751)</f>
        <v>2000</v>
      </c>
    </row>
    <row r="1753" spans="1:15" x14ac:dyDescent="0.2">
      <c r="A1753" s="106"/>
      <c r="B1753" s="375"/>
      <c r="C1753" s="122"/>
      <c r="D1753" s="106"/>
      <c r="E1753" s="250"/>
      <c r="F1753" s="46"/>
      <c r="G1753" s="219"/>
      <c r="H1753" s="311"/>
      <c r="I1753" s="219"/>
      <c r="J1753" s="219"/>
      <c r="K1753" s="375"/>
    </row>
    <row r="1754" spans="1:15" s="642" customFormat="1" ht="22.5" x14ac:dyDescent="0.2">
      <c r="A1754" s="94"/>
      <c r="B1754" s="111"/>
      <c r="C1754" s="119"/>
      <c r="D1754" s="99"/>
      <c r="E1754" s="176"/>
      <c r="F1754" s="1"/>
      <c r="G1754" s="1"/>
      <c r="H1754" s="1093" t="s">
        <v>903</v>
      </c>
      <c r="I1754" s="289"/>
      <c r="J1754" s="156"/>
      <c r="K1754" s="157"/>
      <c r="L1754" s="27"/>
      <c r="M1754" s="1223"/>
      <c r="N1754" s="61"/>
      <c r="O1754" s="61"/>
    </row>
    <row r="1755" spans="1:15" s="642" customFormat="1" x14ac:dyDescent="0.2">
      <c r="A1755" s="583"/>
      <c r="B1755" s="781"/>
      <c r="C1755" s="121"/>
      <c r="D1755" s="101"/>
      <c r="E1755" s="177"/>
      <c r="F1755" s="124">
        <v>328</v>
      </c>
      <c r="G1755" s="154" t="s">
        <v>332</v>
      </c>
      <c r="H1755" s="90" t="s">
        <v>20</v>
      </c>
      <c r="I1755" s="241">
        <v>1000</v>
      </c>
      <c r="J1755" s="160"/>
      <c r="K1755" s="187">
        <f>SUM(I1755:J1755)</f>
        <v>1000</v>
      </c>
      <c r="L1755" s="26"/>
      <c r="M1755" s="1223"/>
      <c r="N1755" s="61"/>
      <c r="O1755" s="61"/>
    </row>
    <row r="1756" spans="1:15" s="642" customFormat="1" x14ac:dyDescent="0.2">
      <c r="A1756" s="94"/>
      <c r="B1756" s="111"/>
      <c r="C1756" s="119"/>
      <c r="D1756" s="99"/>
      <c r="E1756" s="176"/>
      <c r="F1756" s="1"/>
      <c r="G1756" s="38" t="s">
        <v>39</v>
      </c>
      <c r="H1756" s="90" t="s">
        <v>40</v>
      </c>
      <c r="I1756" s="241">
        <f>SUM(I1755)</f>
        <v>1000</v>
      </c>
      <c r="J1756" s="161"/>
      <c r="K1756" s="187">
        <f>SUM(I1756:J1756)</f>
        <v>1000</v>
      </c>
      <c r="L1756" s="27"/>
      <c r="M1756" s="1223"/>
      <c r="N1756" s="61"/>
      <c r="O1756" s="61"/>
    </row>
    <row r="1757" spans="1:15" s="642" customFormat="1" x14ac:dyDescent="0.2">
      <c r="A1757" s="583"/>
      <c r="B1757" s="781"/>
      <c r="C1757" s="121"/>
      <c r="D1757" s="101"/>
      <c r="E1757" s="177"/>
      <c r="F1757" s="42"/>
      <c r="G1757" s="43"/>
      <c r="H1757" s="97" t="s">
        <v>697</v>
      </c>
      <c r="I1757" s="179">
        <f>SUM(I1756)</f>
        <v>1000</v>
      </c>
      <c r="J1757" s="162"/>
      <c r="K1757" s="162">
        <f>SUM(I1757:J1757)</f>
        <v>1000</v>
      </c>
      <c r="L1757" s="27"/>
      <c r="M1757" s="1223"/>
      <c r="N1757" s="61"/>
      <c r="O1757" s="61"/>
    </row>
    <row r="1758" spans="1:15" x14ac:dyDescent="0.2">
      <c r="A1758" s="106"/>
      <c r="B1758" s="113"/>
      <c r="C1758" s="122"/>
      <c r="D1758" s="103"/>
      <c r="E1758" s="250"/>
      <c r="F1758" s="46"/>
      <c r="G1758" s="64"/>
      <c r="H1758" s="55"/>
      <c r="I1758" s="69"/>
      <c r="J1758" s="63"/>
      <c r="K1758" s="203"/>
    </row>
    <row r="1759" spans="1:15" x14ac:dyDescent="0.2">
      <c r="A1759" s="106"/>
      <c r="B1759" s="113"/>
      <c r="C1759" s="122"/>
      <c r="D1759" s="103"/>
      <c r="E1759" s="250"/>
      <c r="F1759" s="1"/>
      <c r="G1759" s="1"/>
      <c r="H1759" s="1095" t="s">
        <v>904</v>
      </c>
      <c r="I1759" s="286"/>
      <c r="J1759" s="158"/>
      <c r="K1759" s="159"/>
    </row>
    <row r="1760" spans="1:15" x14ac:dyDescent="0.2">
      <c r="A1760" s="106"/>
      <c r="B1760" s="113"/>
      <c r="C1760" s="122"/>
      <c r="D1760" s="103"/>
      <c r="E1760" s="250"/>
      <c r="F1760" s="284" t="s">
        <v>1123</v>
      </c>
      <c r="G1760" s="284">
        <v>424</v>
      </c>
      <c r="H1760" s="285" t="s">
        <v>10</v>
      </c>
      <c r="I1760" s="241">
        <v>1000</v>
      </c>
      <c r="J1760" s="187"/>
      <c r="K1760" s="187">
        <f>SUM(I1760:J1760)</f>
        <v>1000</v>
      </c>
    </row>
    <row r="1761" spans="1:15" x14ac:dyDescent="0.2">
      <c r="A1761" s="107"/>
      <c r="B1761" s="114"/>
      <c r="C1761" s="123"/>
      <c r="D1761" s="104"/>
      <c r="E1761" s="253"/>
      <c r="F1761" s="124">
        <v>329</v>
      </c>
      <c r="G1761" s="154" t="s">
        <v>332</v>
      </c>
      <c r="H1761" s="90" t="s">
        <v>20</v>
      </c>
      <c r="I1761" s="241">
        <v>1000</v>
      </c>
      <c r="J1761" s="160"/>
      <c r="K1761" s="187">
        <f>SUM(I1761:J1761)</f>
        <v>1000</v>
      </c>
    </row>
    <row r="1762" spans="1:15" x14ac:dyDescent="0.2">
      <c r="A1762" s="258"/>
      <c r="B1762" s="389"/>
      <c r="C1762" s="215"/>
      <c r="D1762" s="275"/>
      <c r="E1762" s="257"/>
      <c r="F1762" s="57"/>
      <c r="G1762" s="58" t="s">
        <v>39</v>
      </c>
      <c r="H1762" s="90" t="s">
        <v>40</v>
      </c>
      <c r="I1762" s="241">
        <f>SUM(I1760:I1761)</f>
        <v>2000</v>
      </c>
      <c r="J1762" s="161"/>
      <c r="K1762" s="187">
        <f>SUM(I1762:J1762)</f>
        <v>2000</v>
      </c>
    </row>
    <row r="1763" spans="1:15" x14ac:dyDescent="0.2">
      <c r="A1763" s="258"/>
      <c r="B1763" s="389"/>
      <c r="C1763" s="215"/>
      <c r="D1763" s="275"/>
      <c r="E1763" s="257"/>
      <c r="F1763" s="57"/>
      <c r="G1763" s="58"/>
      <c r="H1763" s="96" t="s">
        <v>891</v>
      </c>
      <c r="I1763" s="178">
        <f>SUM(I1762)</f>
        <v>2000</v>
      </c>
      <c r="J1763" s="161"/>
      <c r="K1763" s="188">
        <f>SUM(I1763:J1763)</f>
        <v>2000</v>
      </c>
    </row>
    <row r="1764" spans="1:15" x14ac:dyDescent="0.2">
      <c r="A1764" s="106"/>
      <c r="B1764" s="113"/>
      <c r="C1764" s="122"/>
      <c r="D1764" s="103"/>
      <c r="E1764" s="250"/>
      <c r="F1764" s="46"/>
      <c r="G1764" s="64"/>
      <c r="H1764" s="55"/>
      <c r="I1764" s="69"/>
      <c r="J1764" s="63"/>
      <c r="K1764" s="203"/>
    </row>
    <row r="1765" spans="1:15" ht="22.5" x14ac:dyDescent="0.2">
      <c r="A1765" s="106"/>
      <c r="B1765" s="113"/>
      <c r="C1765" s="122"/>
      <c r="D1765" s="103"/>
      <c r="E1765" s="250"/>
      <c r="F1765" s="1"/>
      <c r="G1765" s="1"/>
      <c r="H1765" s="1093" t="s">
        <v>958</v>
      </c>
      <c r="I1765" s="289"/>
      <c r="J1765" s="156"/>
      <c r="K1765" s="157"/>
    </row>
    <row r="1766" spans="1:15" x14ac:dyDescent="0.2">
      <c r="A1766" s="106"/>
      <c r="B1766" s="113"/>
      <c r="C1766" s="122"/>
      <c r="D1766" s="103"/>
      <c r="E1766" s="250"/>
      <c r="F1766" s="284" t="s">
        <v>956</v>
      </c>
      <c r="G1766" s="284">
        <v>424</v>
      </c>
      <c r="H1766" s="285" t="s">
        <v>10</v>
      </c>
      <c r="I1766" s="241">
        <v>1</v>
      </c>
      <c r="J1766" s="187"/>
      <c r="K1766" s="187">
        <f>SUM(I1766:J1766)</f>
        <v>1</v>
      </c>
    </row>
    <row r="1767" spans="1:15" x14ac:dyDescent="0.2">
      <c r="A1767" s="106"/>
      <c r="B1767" s="113"/>
      <c r="C1767" s="122"/>
      <c r="D1767" s="103"/>
      <c r="E1767" s="250"/>
      <c r="F1767" s="284" t="s">
        <v>957</v>
      </c>
      <c r="G1767" s="290">
        <v>511</v>
      </c>
      <c r="H1767" s="90" t="s">
        <v>20</v>
      </c>
      <c r="I1767" s="241">
        <v>600000</v>
      </c>
      <c r="J1767" s="187"/>
      <c r="K1767" s="187">
        <f>SUM(I1767:J1767)</f>
        <v>600000</v>
      </c>
    </row>
    <row r="1768" spans="1:15" x14ac:dyDescent="0.2">
      <c r="A1768" s="106"/>
      <c r="B1768" s="113"/>
      <c r="C1768" s="122"/>
      <c r="D1768" s="103"/>
      <c r="E1768" s="250"/>
      <c r="F1768" s="41"/>
      <c r="G1768" s="45" t="s">
        <v>39</v>
      </c>
      <c r="H1768" s="90" t="s">
        <v>40</v>
      </c>
      <c r="I1768" s="241">
        <f>SUM(I1766:I1767)</f>
        <v>600001</v>
      </c>
      <c r="J1768" s="161"/>
      <c r="K1768" s="187">
        <f>SUM(I1768:J1768)</f>
        <v>600001</v>
      </c>
    </row>
    <row r="1769" spans="1:15" x14ac:dyDescent="0.2">
      <c r="A1769" s="106"/>
      <c r="B1769" s="113"/>
      <c r="C1769" s="122"/>
      <c r="D1769" s="103"/>
      <c r="E1769" s="397"/>
      <c r="F1769" s="184"/>
      <c r="G1769" s="293"/>
      <c r="H1769" s="245" t="s">
        <v>1020</v>
      </c>
      <c r="I1769" s="178">
        <f>SUM(I1768)</f>
        <v>600001</v>
      </c>
      <c r="J1769" s="161"/>
      <c r="K1769" s="188">
        <f>SUM(I1769:J1769)</f>
        <v>600001</v>
      </c>
    </row>
    <row r="1770" spans="1:15" x14ac:dyDescent="0.2">
      <c r="A1770" s="106"/>
      <c r="B1770" s="113"/>
      <c r="C1770" s="122"/>
      <c r="D1770" s="103"/>
      <c r="E1770" s="250"/>
      <c r="F1770" s="46"/>
      <c r="G1770" s="64"/>
      <c r="H1770" s="55"/>
      <c r="I1770" s="69"/>
      <c r="J1770" s="63"/>
      <c r="K1770" s="203"/>
    </row>
    <row r="1771" spans="1:15" s="642" customFormat="1" ht="22.5" x14ac:dyDescent="0.2">
      <c r="A1771" s="94"/>
      <c r="B1771" s="111"/>
      <c r="C1771" s="119"/>
      <c r="D1771" s="99"/>
      <c r="E1771" s="176"/>
      <c r="F1771" s="1"/>
      <c r="G1771" s="1"/>
      <c r="H1771" s="1093" t="s">
        <v>941</v>
      </c>
      <c r="I1771" s="289"/>
      <c r="J1771" s="156"/>
      <c r="K1771" s="157"/>
      <c r="L1771" s="27"/>
      <c r="M1771" s="1223"/>
      <c r="N1771" s="61"/>
      <c r="O1771" s="61"/>
    </row>
    <row r="1772" spans="1:15" s="642" customFormat="1" x14ac:dyDescent="0.2">
      <c r="A1772" s="94"/>
      <c r="B1772" s="111"/>
      <c r="C1772" s="119"/>
      <c r="D1772" s="99"/>
      <c r="E1772" s="176"/>
      <c r="F1772" s="284">
        <v>330</v>
      </c>
      <c r="G1772" s="284">
        <v>424</v>
      </c>
      <c r="H1772" s="285" t="s">
        <v>10</v>
      </c>
      <c r="I1772" s="241">
        <v>1</v>
      </c>
      <c r="J1772" s="187"/>
      <c r="K1772" s="187">
        <f>SUM(I1772:J1772)</f>
        <v>1</v>
      </c>
      <c r="L1772" s="27"/>
      <c r="M1772" s="1223"/>
      <c r="N1772" s="61"/>
      <c r="O1772" s="61"/>
    </row>
    <row r="1773" spans="1:15" s="642" customFormat="1" x14ac:dyDescent="0.2">
      <c r="A1773" s="94"/>
      <c r="B1773" s="111"/>
      <c r="C1773" s="119"/>
      <c r="D1773" s="99"/>
      <c r="E1773" s="176"/>
      <c r="F1773" s="284" t="s">
        <v>954</v>
      </c>
      <c r="G1773" s="290">
        <v>511</v>
      </c>
      <c r="H1773" s="90" t="s">
        <v>20</v>
      </c>
      <c r="I1773" s="241">
        <v>1080000</v>
      </c>
      <c r="J1773" s="187"/>
      <c r="K1773" s="187">
        <f>SUM(I1773:J1773)</f>
        <v>1080000</v>
      </c>
      <c r="L1773" s="27"/>
      <c r="M1773" s="1223"/>
      <c r="N1773" s="61"/>
      <c r="O1773" s="61"/>
    </row>
    <row r="1774" spans="1:15" s="642" customFormat="1" x14ac:dyDescent="0.2">
      <c r="A1774" s="94"/>
      <c r="B1774" s="111"/>
      <c r="C1774" s="119"/>
      <c r="D1774" s="99"/>
      <c r="E1774" s="176"/>
      <c r="F1774" s="57"/>
      <c r="G1774" s="58" t="s">
        <v>39</v>
      </c>
      <c r="H1774" s="90" t="s">
        <v>40</v>
      </c>
      <c r="I1774" s="241">
        <f>SUM(I1772:I1773)</f>
        <v>1080001</v>
      </c>
      <c r="J1774" s="161"/>
      <c r="K1774" s="187">
        <f>SUM(I1774:J1774)</f>
        <v>1080001</v>
      </c>
      <c r="L1774" s="27"/>
      <c r="M1774" s="1223"/>
      <c r="N1774" s="61"/>
      <c r="O1774" s="61"/>
    </row>
    <row r="1775" spans="1:15" s="642" customFormat="1" x14ac:dyDescent="0.2">
      <c r="A1775" s="94"/>
      <c r="B1775" s="111"/>
      <c r="C1775" s="119"/>
      <c r="D1775" s="99"/>
      <c r="E1775" s="176"/>
      <c r="F1775" s="57"/>
      <c r="G1775" s="58"/>
      <c r="H1775" s="96" t="s">
        <v>700</v>
      </c>
      <c r="I1775" s="178">
        <f>SUM(I1774)</f>
        <v>1080001</v>
      </c>
      <c r="J1775" s="161"/>
      <c r="K1775" s="188">
        <f>SUM(I1775:J1775)</f>
        <v>1080001</v>
      </c>
      <c r="L1775" s="27"/>
      <c r="M1775" s="1223"/>
      <c r="N1775" s="61"/>
      <c r="O1775" s="61"/>
    </row>
    <row r="1776" spans="1:15" x14ac:dyDescent="0.2">
      <c r="A1776" s="106"/>
      <c r="B1776" s="113"/>
      <c r="C1776" s="122"/>
      <c r="D1776" s="103"/>
      <c r="E1776" s="250"/>
      <c r="F1776" s="46"/>
      <c r="G1776" s="64"/>
      <c r="H1776" s="55"/>
      <c r="I1776" s="69"/>
      <c r="J1776" s="63"/>
      <c r="K1776" s="203"/>
    </row>
    <row r="1777" spans="1:15" s="642" customFormat="1" ht="22.5" x14ac:dyDescent="0.2">
      <c r="A1777" s="94"/>
      <c r="B1777" s="111"/>
      <c r="C1777" s="119"/>
      <c r="D1777" s="99"/>
      <c r="E1777" s="176"/>
      <c r="F1777" s="1"/>
      <c r="G1777" s="1"/>
      <c r="H1777" s="166" t="s">
        <v>942</v>
      </c>
      <c r="I1777" s="289"/>
      <c r="J1777" s="156"/>
      <c r="K1777" s="157"/>
      <c r="L1777" s="27"/>
      <c r="M1777" s="1223"/>
      <c r="N1777" s="61"/>
      <c r="O1777" s="61"/>
    </row>
    <row r="1778" spans="1:15" s="642" customFormat="1" x14ac:dyDescent="0.2">
      <c r="A1778" s="94"/>
      <c r="B1778" s="111"/>
      <c r="C1778" s="119"/>
      <c r="D1778" s="99"/>
      <c r="E1778" s="176"/>
      <c r="F1778" s="284">
        <v>331</v>
      </c>
      <c r="G1778" s="284">
        <v>424</v>
      </c>
      <c r="H1778" s="285" t="s">
        <v>10</v>
      </c>
      <c r="I1778" s="241">
        <v>1</v>
      </c>
      <c r="J1778" s="187"/>
      <c r="K1778" s="187">
        <f>SUM(I1778:J1778)</f>
        <v>1</v>
      </c>
      <c r="L1778" s="27"/>
      <c r="M1778" s="1223"/>
      <c r="N1778" s="61"/>
      <c r="O1778" s="61"/>
    </row>
    <row r="1779" spans="1:15" s="642" customFormat="1" x14ac:dyDescent="0.2">
      <c r="A1779" s="94"/>
      <c r="B1779" s="111"/>
      <c r="C1779" s="119"/>
      <c r="D1779" s="99"/>
      <c r="E1779" s="176"/>
      <c r="F1779" s="284" t="s">
        <v>955</v>
      </c>
      <c r="G1779" s="290">
        <v>511</v>
      </c>
      <c r="H1779" s="90" t="s">
        <v>20</v>
      </c>
      <c r="I1779" s="241">
        <v>804000</v>
      </c>
      <c r="J1779" s="187"/>
      <c r="K1779" s="187">
        <f>SUM(I1779:J1779)</f>
        <v>804000</v>
      </c>
      <c r="L1779" s="27"/>
      <c r="M1779" s="1223"/>
      <c r="N1779" s="61"/>
      <c r="O1779" s="61"/>
    </row>
    <row r="1780" spans="1:15" s="642" customFormat="1" x14ac:dyDescent="0.2">
      <c r="A1780" s="94"/>
      <c r="B1780" s="111"/>
      <c r="C1780" s="119"/>
      <c r="D1780" s="99"/>
      <c r="E1780" s="176"/>
      <c r="F1780" s="57"/>
      <c r="G1780" s="58" t="s">
        <v>39</v>
      </c>
      <c r="H1780" s="90" t="s">
        <v>40</v>
      </c>
      <c r="I1780" s="241">
        <f>SUM(I1778:I1779)</f>
        <v>804001</v>
      </c>
      <c r="J1780" s="161"/>
      <c r="K1780" s="187">
        <f>SUM(I1780:J1780)</f>
        <v>804001</v>
      </c>
      <c r="L1780" s="27"/>
      <c r="M1780" s="1223"/>
      <c r="N1780" s="61"/>
      <c r="O1780" s="61"/>
    </row>
    <row r="1781" spans="1:15" s="642" customFormat="1" x14ac:dyDescent="0.2">
      <c r="A1781" s="94"/>
      <c r="B1781" s="111"/>
      <c r="C1781" s="119"/>
      <c r="D1781" s="99"/>
      <c r="E1781" s="176"/>
      <c r="F1781" s="57"/>
      <c r="G1781" s="58"/>
      <c r="H1781" s="96" t="s">
        <v>905</v>
      </c>
      <c r="I1781" s="178">
        <f>SUM(I1780)</f>
        <v>804001</v>
      </c>
      <c r="J1781" s="161"/>
      <c r="K1781" s="188">
        <f>SUM(I1781:J1781)</f>
        <v>804001</v>
      </c>
      <c r="L1781" s="27"/>
      <c r="M1781" s="1223"/>
      <c r="N1781" s="61"/>
      <c r="O1781" s="61"/>
    </row>
    <row r="1782" spans="1:15" s="642" customFormat="1" x14ac:dyDescent="0.2">
      <c r="A1782" s="94"/>
      <c r="B1782" s="111"/>
      <c r="C1782" s="119"/>
      <c r="D1782" s="99"/>
      <c r="E1782" s="176"/>
      <c r="F1782" s="1"/>
      <c r="G1782" s="38"/>
      <c r="H1782" s="44"/>
      <c r="I1782" s="481"/>
      <c r="J1782" s="47"/>
      <c r="K1782" s="200"/>
      <c r="L1782" s="27"/>
      <c r="M1782" s="1223"/>
      <c r="N1782" s="61"/>
      <c r="O1782" s="61"/>
    </row>
    <row r="1783" spans="1:15" s="642" customFormat="1" ht="33.75" x14ac:dyDescent="0.2">
      <c r="A1783" s="94"/>
      <c r="B1783" s="111"/>
      <c r="C1783" s="119"/>
      <c r="D1783" s="99"/>
      <c r="E1783" s="176"/>
      <c r="F1783" s="1"/>
      <c r="G1783" s="1"/>
      <c r="H1783" s="167" t="s">
        <v>906</v>
      </c>
      <c r="I1783" s="286"/>
      <c r="J1783" s="158"/>
      <c r="K1783" s="159"/>
      <c r="L1783" s="27"/>
      <c r="M1783" s="1223"/>
      <c r="N1783" s="61"/>
      <c r="O1783" s="61"/>
    </row>
    <row r="1784" spans="1:15" s="642" customFormat="1" x14ac:dyDescent="0.2">
      <c r="A1784" s="94"/>
      <c r="B1784" s="111"/>
      <c r="C1784" s="119"/>
      <c r="D1784" s="99"/>
      <c r="E1784" s="176"/>
      <c r="F1784" s="95">
        <v>332</v>
      </c>
      <c r="G1784" s="95">
        <v>424</v>
      </c>
      <c r="H1784" s="285" t="s">
        <v>10</v>
      </c>
      <c r="I1784" s="241">
        <v>1000</v>
      </c>
      <c r="J1784" s="187"/>
      <c r="K1784" s="187">
        <f>SUM(I1784:J1784)</f>
        <v>1000</v>
      </c>
      <c r="L1784" s="26"/>
      <c r="M1784" s="1223"/>
      <c r="N1784" s="61"/>
      <c r="O1784" s="61"/>
    </row>
    <row r="1785" spans="1:15" s="642" customFormat="1" x14ac:dyDescent="0.2">
      <c r="A1785" s="583"/>
      <c r="B1785" s="781"/>
      <c r="C1785" s="121"/>
      <c r="D1785" s="101"/>
      <c r="E1785" s="177"/>
      <c r="F1785" s="124">
        <v>333</v>
      </c>
      <c r="G1785" s="154" t="s">
        <v>332</v>
      </c>
      <c r="H1785" s="90" t="s">
        <v>20</v>
      </c>
      <c r="I1785" s="241">
        <v>1000</v>
      </c>
      <c r="J1785" s="161"/>
      <c r="K1785" s="187">
        <f>SUM(I1785:J1785)</f>
        <v>1000</v>
      </c>
      <c r="L1785" s="26"/>
      <c r="M1785" s="1223"/>
      <c r="N1785" s="61"/>
      <c r="O1785" s="61"/>
    </row>
    <row r="1786" spans="1:15" s="642" customFormat="1" x14ac:dyDescent="0.2">
      <c r="A1786" s="94"/>
      <c r="B1786" s="111"/>
      <c r="C1786" s="119"/>
      <c r="D1786" s="99"/>
      <c r="E1786" s="176"/>
      <c r="F1786" s="1"/>
      <c r="G1786" s="38" t="s">
        <v>39</v>
      </c>
      <c r="H1786" s="90" t="s">
        <v>40</v>
      </c>
      <c r="I1786" s="241">
        <v>1000</v>
      </c>
      <c r="J1786" s="161"/>
      <c r="K1786" s="187">
        <f>SUM(I1786:J1786)</f>
        <v>1000</v>
      </c>
      <c r="L1786" s="27"/>
      <c r="M1786" s="1223"/>
      <c r="N1786" s="61"/>
      <c r="O1786" s="61"/>
    </row>
    <row r="1787" spans="1:15" s="642" customFormat="1" x14ac:dyDescent="0.2">
      <c r="A1787" s="94"/>
      <c r="B1787" s="111"/>
      <c r="C1787" s="119"/>
      <c r="D1787" s="99"/>
      <c r="E1787" s="176"/>
      <c r="F1787" s="1"/>
      <c r="G1787" s="38" t="s">
        <v>157</v>
      </c>
      <c r="H1787" s="90" t="s">
        <v>517</v>
      </c>
      <c r="I1787" s="241">
        <v>1000</v>
      </c>
      <c r="J1787" s="161"/>
      <c r="K1787" s="187">
        <v>1000</v>
      </c>
      <c r="L1787" s="27"/>
      <c r="M1787" s="1223"/>
      <c r="N1787" s="61"/>
      <c r="O1787" s="61"/>
    </row>
    <row r="1788" spans="1:15" s="642" customFormat="1" x14ac:dyDescent="0.2">
      <c r="A1788" s="583"/>
      <c r="B1788" s="781"/>
      <c r="C1788" s="121"/>
      <c r="D1788" s="101"/>
      <c r="E1788" s="177"/>
      <c r="F1788" s="42"/>
      <c r="G1788" s="43"/>
      <c r="H1788" s="97" t="s">
        <v>731</v>
      </c>
      <c r="I1788" s="179">
        <f>SUM(I1786:I1787)</f>
        <v>2000</v>
      </c>
      <c r="J1788" s="162"/>
      <c r="K1788" s="162">
        <f>SUM(I1788:J1788)</f>
        <v>2000</v>
      </c>
      <c r="L1788" s="27"/>
      <c r="M1788" s="1223"/>
      <c r="N1788" s="61"/>
      <c r="O1788" s="61"/>
    </row>
    <row r="1789" spans="1:15" x14ac:dyDescent="0.2">
      <c r="A1789" s="106"/>
      <c r="B1789" s="113"/>
      <c r="C1789" s="122"/>
      <c r="D1789" s="103"/>
      <c r="E1789" s="250"/>
      <c r="F1789" s="46"/>
      <c r="G1789" s="64"/>
      <c r="H1789" s="55"/>
      <c r="I1789" s="69"/>
      <c r="J1789" s="63"/>
      <c r="K1789" s="203"/>
    </row>
    <row r="1790" spans="1:15" ht="22.5" x14ac:dyDescent="0.2">
      <c r="A1790" s="106"/>
      <c r="B1790" s="113"/>
      <c r="C1790" s="122"/>
      <c r="D1790" s="103"/>
      <c r="E1790" s="250"/>
      <c r="F1790" s="1"/>
      <c r="G1790" s="38"/>
      <c r="H1790" s="1095" t="s">
        <v>1131</v>
      </c>
      <c r="I1790" s="286"/>
      <c r="J1790" s="158"/>
      <c r="K1790" s="159"/>
    </row>
    <row r="1791" spans="1:15" x14ac:dyDescent="0.2">
      <c r="A1791" s="106"/>
      <c r="B1791" s="113"/>
      <c r="C1791" s="122"/>
      <c r="D1791" s="103"/>
      <c r="E1791" s="250"/>
      <c r="F1791" s="284" t="s">
        <v>1124</v>
      </c>
      <c r="G1791" s="95">
        <v>424</v>
      </c>
      <c r="H1791" s="285" t="s">
        <v>10</v>
      </c>
      <c r="I1791" s="241">
        <v>1</v>
      </c>
      <c r="J1791" s="187"/>
      <c r="K1791" s="187">
        <f>SUM(I1791:J1791)</f>
        <v>1</v>
      </c>
    </row>
    <row r="1792" spans="1:15" x14ac:dyDescent="0.2">
      <c r="A1792" s="106"/>
      <c r="B1792" s="113"/>
      <c r="C1792" s="122"/>
      <c r="D1792" s="103"/>
      <c r="E1792" s="250"/>
      <c r="F1792" s="124">
        <v>334</v>
      </c>
      <c r="G1792" s="521" t="s">
        <v>332</v>
      </c>
      <c r="H1792" s="90" t="s">
        <v>20</v>
      </c>
      <c r="I1792" s="241">
        <v>6620000</v>
      </c>
      <c r="J1792" s="161"/>
      <c r="K1792" s="187">
        <f>SUM(I1792:J1792)</f>
        <v>6620000</v>
      </c>
    </row>
    <row r="1793" spans="1:15" x14ac:dyDescent="0.2">
      <c r="A1793" s="106"/>
      <c r="B1793" s="113"/>
      <c r="C1793" s="122"/>
      <c r="D1793" s="103"/>
      <c r="E1793" s="250"/>
      <c r="F1793" s="41"/>
      <c r="G1793" s="45" t="s">
        <v>39</v>
      </c>
      <c r="H1793" s="90" t="s">
        <v>40</v>
      </c>
      <c r="I1793" s="241">
        <f>SUM(I1791:I1792)</f>
        <v>6620001</v>
      </c>
      <c r="J1793" s="161"/>
      <c r="K1793" s="187">
        <f>SUM(I1793:J1793)</f>
        <v>6620001</v>
      </c>
    </row>
    <row r="1794" spans="1:15" x14ac:dyDescent="0.2">
      <c r="A1794" s="106"/>
      <c r="B1794" s="113"/>
      <c r="C1794" s="122"/>
      <c r="D1794" s="103"/>
      <c r="E1794" s="250"/>
      <c r="F1794" s="42"/>
      <c r="G1794" s="43"/>
      <c r="H1794" s="96" t="s">
        <v>732</v>
      </c>
      <c r="I1794" s="178">
        <f>SUM(I1793)</f>
        <v>6620001</v>
      </c>
      <c r="J1794" s="161"/>
      <c r="K1794" s="188">
        <f>SUM(I1794:J1794)</f>
        <v>6620001</v>
      </c>
    </row>
    <row r="1795" spans="1:15" x14ac:dyDescent="0.2">
      <c r="A1795" s="106"/>
      <c r="B1795" s="113"/>
      <c r="C1795" s="122"/>
      <c r="D1795" s="103"/>
      <c r="E1795" s="250"/>
      <c r="F1795" s="46"/>
      <c r="G1795" s="64"/>
      <c r="H1795" s="55"/>
      <c r="I1795" s="69"/>
      <c r="J1795" s="63"/>
      <c r="K1795" s="203"/>
    </row>
    <row r="1796" spans="1:15" ht="33.75" x14ac:dyDescent="0.2">
      <c r="A1796" s="106"/>
      <c r="B1796" s="113"/>
      <c r="C1796" s="122"/>
      <c r="D1796" s="103"/>
      <c r="E1796" s="250"/>
      <c r="F1796" s="1"/>
      <c r="G1796" s="1"/>
      <c r="H1796" s="1095" t="s">
        <v>1112</v>
      </c>
      <c r="I1796" s="286"/>
      <c r="J1796" s="158"/>
      <c r="K1796" s="159"/>
    </row>
    <row r="1797" spans="1:15" x14ac:dyDescent="0.2">
      <c r="A1797" s="106"/>
      <c r="B1797" s="113"/>
      <c r="C1797" s="122"/>
      <c r="D1797" s="103"/>
      <c r="E1797" s="250"/>
      <c r="F1797" s="284" t="s">
        <v>1085</v>
      </c>
      <c r="G1797" s="284">
        <v>424</v>
      </c>
      <c r="H1797" s="285" t="s">
        <v>10</v>
      </c>
      <c r="I1797" s="241">
        <v>1</v>
      </c>
      <c r="J1797" s="187"/>
      <c r="K1797" s="187">
        <f>SUM(I1797:J1797)</f>
        <v>1</v>
      </c>
    </row>
    <row r="1798" spans="1:15" x14ac:dyDescent="0.2">
      <c r="A1798" s="106"/>
      <c r="B1798" s="113"/>
      <c r="C1798" s="122"/>
      <c r="D1798" s="103"/>
      <c r="E1798" s="250"/>
      <c r="F1798" s="124" t="s">
        <v>1086</v>
      </c>
      <c r="G1798" s="154" t="s">
        <v>332</v>
      </c>
      <c r="H1798" s="90" t="s">
        <v>20</v>
      </c>
      <c r="I1798" s="241">
        <v>15300000</v>
      </c>
      <c r="J1798" s="160"/>
      <c r="K1798" s="187">
        <f>SUM(I1798:J1798)</f>
        <v>15300000</v>
      </c>
    </row>
    <row r="1799" spans="1:15" x14ac:dyDescent="0.2">
      <c r="A1799" s="106"/>
      <c r="B1799" s="113"/>
      <c r="C1799" s="122"/>
      <c r="D1799" s="103"/>
      <c r="E1799" s="250"/>
      <c r="F1799" s="1"/>
      <c r="G1799" s="38" t="s">
        <v>39</v>
      </c>
      <c r="H1799" s="90" t="s">
        <v>40</v>
      </c>
      <c r="I1799" s="241">
        <f>SUM(I1797:I1798)</f>
        <v>15300001</v>
      </c>
      <c r="J1799" s="161"/>
      <c r="K1799" s="187">
        <f>SUM(I1799:J1799)</f>
        <v>15300001</v>
      </c>
    </row>
    <row r="1800" spans="1:15" x14ac:dyDescent="0.2">
      <c r="A1800" s="106"/>
      <c r="B1800" s="113"/>
      <c r="C1800" s="122"/>
      <c r="D1800" s="103"/>
      <c r="E1800" s="250"/>
      <c r="F1800" s="42"/>
      <c r="G1800" s="43"/>
      <c r="H1800" s="97" t="s">
        <v>744</v>
      </c>
      <c r="I1800" s="179">
        <f>SUM(I1799:I1799)</f>
        <v>15300001</v>
      </c>
      <c r="J1800" s="162"/>
      <c r="K1800" s="162">
        <f>SUM(I1800:J1800)</f>
        <v>15300001</v>
      </c>
    </row>
    <row r="1801" spans="1:15" x14ac:dyDescent="0.2">
      <c r="A1801" s="106"/>
      <c r="B1801" s="113"/>
      <c r="C1801" s="122"/>
      <c r="D1801" s="103"/>
      <c r="E1801" s="250"/>
      <c r="F1801" s="46"/>
      <c r="G1801" s="64"/>
      <c r="H1801" s="55"/>
      <c r="I1801" s="63"/>
      <c r="J1801" s="63"/>
      <c r="K1801" s="202"/>
    </row>
    <row r="1802" spans="1:15" s="642" customFormat="1" ht="22.5" x14ac:dyDescent="0.2">
      <c r="A1802" s="94"/>
      <c r="B1802" s="111"/>
      <c r="C1802" s="119"/>
      <c r="D1802" s="99"/>
      <c r="E1802" s="176"/>
      <c r="F1802" s="1"/>
      <c r="G1802" s="1"/>
      <c r="H1802" s="167" t="s">
        <v>907</v>
      </c>
      <c r="I1802" s="286"/>
      <c r="J1802" s="158"/>
      <c r="K1802" s="159"/>
      <c r="L1802" s="27"/>
      <c r="M1802" s="1223"/>
      <c r="N1802" s="61"/>
      <c r="O1802" s="61"/>
    </row>
    <row r="1803" spans="1:15" s="642" customFormat="1" x14ac:dyDescent="0.2">
      <c r="A1803" s="94"/>
      <c r="B1803" s="111"/>
      <c r="C1803" s="119"/>
      <c r="D1803" s="99"/>
      <c r="E1803" s="176"/>
      <c r="F1803" s="284">
        <v>335</v>
      </c>
      <c r="G1803" s="284">
        <v>424</v>
      </c>
      <c r="H1803" s="285" t="s">
        <v>10</v>
      </c>
      <c r="I1803" s="241">
        <v>1</v>
      </c>
      <c r="J1803" s="187"/>
      <c r="K1803" s="187">
        <f>SUM(I1803:J1803)</f>
        <v>1</v>
      </c>
      <c r="L1803" s="27"/>
      <c r="M1803" s="1223"/>
      <c r="N1803" s="61"/>
      <c r="O1803" s="61"/>
    </row>
    <row r="1804" spans="1:15" s="642" customFormat="1" x14ac:dyDescent="0.2">
      <c r="A1804" s="1096"/>
      <c r="B1804" s="781"/>
      <c r="C1804" s="781"/>
      <c r="D1804" s="780"/>
      <c r="E1804" s="249"/>
      <c r="F1804" s="124">
        <v>336</v>
      </c>
      <c r="G1804" s="154" t="s">
        <v>332</v>
      </c>
      <c r="H1804" s="90" t="s">
        <v>20</v>
      </c>
      <c r="I1804" s="241">
        <v>473800301.10000002</v>
      </c>
      <c r="J1804" s="160"/>
      <c r="K1804" s="187">
        <f>SUM(I1804:J1804)</f>
        <v>473800301.10000002</v>
      </c>
      <c r="L1804" s="27"/>
      <c r="M1804" s="1223"/>
      <c r="N1804" s="61"/>
      <c r="O1804" s="61"/>
    </row>
    <row r="1805" spans="1:15" s="642" customFormat="1" x14ac:dyDescent="0.2">
      <c r="A1805" s="94"/>
      <c r="B1805" s="111"/>
      <c r="C1805" s="119"/>
      <c r="D1805" s="99"/>
      <c r="E1805" s="176"/>
      <c r="F1805" s="1"/>
      <c r="G1805" s="38" t="s">
        <v>39</v>
      </c>
      <c r="H1805" s="90" t="s">
        <v>40</v>
      </c>
      <c r="I1805" s="241">
        <f>SUM(I1803)</f>
        <v>1</v>
      </c>
      <c r="J1805" s="161"/>
      <c r="K1805" s="187">
        <f>SUM(I1805:J1805)</f>
        <v>1</v>
      </c>
      <c r="L1805" s="27"/>
      <c r="M1805" s="1223"/>
      <c r="N1805" s="61"/>
      <c r="O1805" s="61"/>
    </row>
    <row r="1806" spans="1:15" s="642" customFormat="1" x14ac:dyDescent="0.2">
      <c r="A1806" s="94"/>
      <c r="B1806" s="111"/>
      <c r="C1806" s="119"/>
      <c r="D1806" s="99"/>
      <c r="E1806" s="176"/>
      <c r="F1806" s="1"/>
      <c r="G1806" s="38" t="s">
        <v>988</v>
      </c>
      <c r="H1806" s="90" t="s">
        <v>989</v>
      </c>
      <c r="I1806" s="241">
        <f>SUM(I1804)</f>
        <v>473800301.10000002</v>
      </c>
      <c r="J1806" s="161"/>
      <c r="K1806" s="187">
        <f>SUM(I1806:J1806)</f>
        <v>473800301.10000002</v>
      </c>
      <c r="L1806" s="27"/>
      <c r="M1806" s="1223"/>
      <c r="N1806" s="61"/>
      <c r="O1806" s="61"/>
    </row>
    <row r="1807" spans="1:15" s="642" customFormat="1" x14ac:dyDescent="0.2">
      <c r="A1807" s="583"/>
      <c r="B1807" s="781"/>
      <c r="C1807" s="121"/>
      <c r="D1807" s="101"/>
      <c r="E1807" s="177"/>
      <c r="F1807" s="42"/>
      <c r="G1807" s="43"/>
      <c r="H1807" s="97" t="s">
        <v>744</v>
      </c>
      <c r="I1807" s="179">
        <f>SUM(I1805:I1806)</f>
        <v>473800302.10000002</v>
      </c>
      <c r="J1807" s="162"/>
      <c r="K1807" s="162">
        <f>SUM(I1807:J1807)</f>
        <v>473800302.10000002</v>
      </c>
      <c r="L1807" s="27"/>
      <c r="M1807" s="1223"/>
      <c r="N1807" s="61"/>
      <c r="O1807" s="61"/>
    </row>
    <row r="1808" spans="1:15" s="953" customFormat="1" ht="15" x14ac:dyDescent="0.25">
      <c r="A1808" s="94"/>
      <c r="B1808" s="111"/>
      <c r="C1808" s="119"/>
      <c r="D1808" s="99"/>
      <c r="E1808" s="176"/>
      <c r="F1808" s="1"/>
      <c r="G1808" s="38"/>
      <c r="H1808" s="29"/>
      <c r="I1808" s="481"/>
      <c r="J1808" s="60"/>
      <c r="K1808" s="200"/>
      <c r="L1808" s="27"/>
      <c r="M1808" s="1226"/>
      <c r="N1808" s="885"/>
      <c r="O1808" s="885"/>
    </row>
    <row r="1809" spans="1:15" s="642" customFormat="1" ht="22.5" x14ac:dyDescent="0.2">
      <c r="A1809" s="94"/>
      <c r="B1809" s="111"/>
      <c r="C1809" s="119"/>
      <c r="D1809" s="99"/>
      <c r="E1809" s="176"/>
      <c r="F1809" s="1"/>
      <c r="G1809" s="1"/>
      <c r="H1809" s="1095" t="s">
        <v>973</v>
      </c>
      <c r="I1809" s="286"/>
      <c r="J1809" s="158"/>
      <c r="K1809" s="159"/>
      <c r="L1809" s="27"/>
      <c r="M1809" s="1223"/>
      <c r="N1809" s="61"/>
      <c r="O1809" s="61"/>
    </row>
    <row r="1810" spans="1:15" s="642" customFormat="1" x14ac:dyDescent="0.2">
      <c r="A1810" s="94"/>
      <c r="B1810" s="111"/>
      <c r="C1810" s="119"/>
      <c r="D1810" s="99"/>
      <c r="E1810" s="176"/>
      <c r="F1810" s="284" t="s">
        <v>971</v>
      </c>
      <c r="G1810" s="284">
        <v>424</v>
      </c>
      <c r="H1810" s="285" t="s">
        <v>10</v>
      </c>
      <c r="I1810" s="241">
        <v>1</v>
      </c>
      <c r="J1810" s="187"/>
      <c r="K1810" s="187">
        <f>SUM(I1810:J1810)</f>
        <v>1</v>
      </c>
      <c r="L1810" s="27"/>
      <c r="M1810" s="1223"/>
      <c r="N1810" s="61"/>
      <c r="O1810" s="61"/>
    </row>
    <row r="1811" spans="1:15" s="642" customFormat="1" x14ac:dyDescent="0.2">
      <c r="A1811" s="94"/>
      <c r="B1811" s="111"/>
      <c r="C1811" s="119"/>
      <c r="D1811" s="99"/>
      <c r="E1811" s="176"/>
      <c r="F1811" s="124" t="s">
        <v>972</v>
      </c>
      <c r="G1811" s="154" t="s">
        <v>332</v>
      </c>
      <c r="H1811" s="90" t="s">
        <v>20</v>
      </c>
      <c r="I1811" s="241">
        <v>26856776.760000002</v>
      </c>
      <c r="J1811" s="160"/>
      <c r="K1811" s="187">
        <f>SUM(I1811:J1811)</f>
        <v>26856776.760000002</v>
      </c>
      <c r="L1811" s="27"/>
      <c r="M1811" s="1223"/>
      <c r="N1811" s="61"/>
      <c r="O1811" s="61"/>
    </row>
    <row r="1812" spans="1:15" s="642" customFormat="1" x14ac:dyDescent="0.2">
      <c r="A1812" s="94"/>
      <c r="B1812" s="111"/>
      <c r="C1812" s="119"/>
      <c r="D1812" s="99"/>
      <c r="E1812" s="176"/>
      <c r="F1812" s="1"/>
      <c r="G1812" s="38" t="s">
        <v>39</v>
      </c>
      <c r="H1812" s="90" t="s">
        <v>40</v>
      </c>
      <c r="I1812" s="241">
        <f>SUM(I1814-I1813)</f>
        <v>26855777.760000002</v>
      </c>
      <c r="J1812" s="161"/>
      <c r="K1812" s="187">
        <f>SUM(I1812:J1812)</f>
        <v>26855777.760000002</v>
      </c>
      <c r="L1812" s="27"/>
      <c r="M1812" s="1223"/>
      <c r="N1812" s="61"/>
      <c r="O1812" s="61"/>
    </row>
    <row r="1813" spans="1:15" s="642" customFormat="1" x14ac:dyDescent="0.2">
      <c r="A1813" s="94"/>
      <c r="B1813" s="111"/>
      <c r="C1813" s="119"/>
      <c r="D1813" s="99"/>
      <c r="E1813" s="176"/>
      <c r="F1813" s="1"/>
      <c r="G1813" s="38" t="s">
        <v>157</v>
      </c>
      <c r="H1813" s="90" t="s">
        <v>354</v>
      </c>
      <c r="I1813" s="241">
        <v>1000</v>
      </c>
      <c r="J1813" s="161"/>
      <c r="K1813" s="187">
        <f>SUM(I1813:J1813)</f>
        <v>1000</v>
      </c>
      <c r="L1813" s="27"/>
      <c r="M1813" s="1223"/>
      <c r="N1813" s="61"/>
      <c r="O1813" s="61"/>
    </row>
    <row r="1814" spans="1:15" s="642" customFormat="1" x14ac:dyDescent="0.2">
      <c r="A1814" s="94"/>
      <c r="B1814" s="111"/>
      <c r="C1814" s="119"/>
      <c r="D1814" s="99"/>
      <c r="E1814" s="176"/>
      <c r="F1814" s="42"/>
      <c r="G1814" s="43"/>
      <c r="H1814" s="97" t="s">
        <v>1021</v>
      </c>
      <c r="I1814" s="179">
        <f>SUM(I1810:I1811)</f>
        <v>26856777.760000002</v>
      </c>
      <c r="J1814" s="162"/>
      <c r="K1814" s="162">
        <f>SUM(I1814:J1814)</f>
        <v>26856777.760000002</v>
      </c>
      <c r="L1814" s="27"/>
      <c r="M1814" s="1223"/>
      <c r="N1814" s="61"/>
      <c r="O1814" s="61"/>
    </row>
    <row r="1815" spans="1:15" x14ac:dyDescent="0.2">
      <c r="A1815" s="106"/>
      <c r="B1815" s="113"/>
      <c r="C1815" s="122"/>
      <c r="D1815" s="103"/>
      <c r="E1815" s="250"/>
      <c r="F1815" s="46"/>
      <c r="G1815" s="64"/>
      <c r="H1815" s="70"/>
      <c r="I1815" s="69"/>
      <c r="J1815" s="66"/>
      <c r="K1815" s="203"/>
    </row>
    <row r="1816" spans="1:15" s="642" customFormat="1" ht="25.5" customHeight="1" x14ac:dyDescent="0.2">
      <c r="A1816" s="94"/>
      <c r="B1816" s="111"/>
      <c r="C1816" s="119"/>
      <c r="D1816" s="99"/>
      <c r="E1816" s="176"/>
      <c r="F1816" s="1"/>
      <c r="G1816" s="1"/>
      <c r="H1816" s="1095" t="s">
        <v>1040</v>
      </c>
      <c r="I1816" s="286"/>
      <c r="J1816" s="158"/>
      <c r="K1816" s="159"/>
      <c r="L1816" s="27"/>
      <c r="M1816" s="1223"/>
      <c r="N1816" s="61"/>
      <c r="O1816" s="61"/>
    </row>
    <row r="1817" spans="1:15" s="642" customFormat="1" x14ac:dyDescent="0.2">
      <c r="A1817" s="94"/>
      <c r="B1817" s="111"/>
      <c r="C1817" s="119"/>
      <c r="D1817" s="99"/>
      <c r="E1817" s="176"/>
      <c r="F1817" s="284" t="s">
        <v>1037</v>
      </c>
      <c r="G1817" s="284">
        <v>424</v>
      </c>
      <c r="H1817" s="285" t="s">
        <v>10</v>
      </c>
      <c r="I1817" s="241">
        <v>1000</v>
      </c>
      <c r="J1817" s="187"/>
      <c r="K1817" s="187">
        <f>SUM(I1817:J1817)</f>
        <v>1000</v>
      </c>
      <c r="L1817" s="26"/>
      <c r="M1817" s="1223"/>
      <c r="N1817" s="61"/>
      <c r="O1817" s="61"/>
    </row>
    <row r="1818" spans="1:15" s="642" customFormat="1" x14ac:dyDescent="0.2">
      <c r="A1818" s="94"/>
      <c r="B1818" s="111"/>
      <c r="C1818" s="119"/>
      <c r="D1818" s="99"/>
      <c r="E1818" s="176"/>
      <c r="F1818" s="124" t="s">
        <v>1038</v>
      </c>
      <c r="G1818" s="154" t="s">
        <v>332</v>
      </c>
      <c r="H1818" s="90" t="s">
        <v>20</v>
      </c>
      <c r="I1818" s="241">
        <v>1000</v>
      </c>
      <c r="J1818" s="160"/>
      <c r="K1818" s="187">
        <f t="shared" ref="K1818:K1820" si="90">SUM(I1818:J1818)</f>
        <v>1000</v>
      </c>
      <c r="L1818" s="26"/>
      <c r="M1818" s="1223"/>
      <c r="N1818" s="61"/>
      <c r="O1818" s="61"/>
    </row>
    <row r="1819" spans="1:15" s="642" customFormat="1" x14ac:dyDescent="0.2">
      <c r="A1819" s="94"/>
      <c r="B1819" s="111"/>
      <c r="C1819" s="119"/>
      <c r="D1819" s="99"/>
      <c r="E1819" s="176"/>
      <c r="F1819" s="1"/>
      <c r="G1819" s="38" t="s">
        <v>39</v>
      </c>
      <c r="H1819" s="90" t="s">
        <v>40</v>
      </c>
      <c r="I1819" s="241">
        <v>1000</v>
      </c>
      <c r="J1819" s="161"/>
      <c r="K1819" s="187">
        <f t="shared" si="90"/>
        <v>1000</v>
      </c>
      <c r="L1819" s="27"/>
      <c r="M1819" s="1223"/>
      <c r="N1819" s="61"/>
      <c r="O1819" s="61"/>
    </row>
    <row r="1820" spans="1:15" s="642" customFormat="1" x14ac:dyDescent="0.2">
      <c r="A1820" s="94"/>
      <c r="B1820" s="111"/>
      <c r="C1820" s="119"/>
      <c r="D1820" s="99"/>
      <c r="E1820" s="176"/>
      <c r="F1820" s="1"/>
      <c r="G1820" s="38" t="s">
        <v>157</v>
      </c>
      <c r="H1820" s="90" t="s">
        <v>354</v>
      </c>
      <c r="I1820" s="241">
        <v>1000</v>
      </c>
      <c r="J1820" s="161"/>
      <c r="K1820" s="187">
        <f t="shared" si="90"/>
        <v>1000</v>
      </c>
      <c r="L1820" s="27"/>
      <c r="M1820" s="1223"/>
      <c r="N1820" s="61"/>
      <c r="O1820" s="61"/>
    </row>
    <row r="1821" spans="1:15" s="642" customFormat="1" x14ac:dyDescent="0.2">
      <c r="A1821" s="94"/>
      <c r="B1821" s="111"/>
      <c r="C1821" s="119"/>
      <c r="D1821" s="99"/>
      <c r="E1821" s="176"/>
      <c r="F1821" s="42"/>
      <c r="G1821" s="43"/>
      <c r="H1821" s="97" t="s">
        <v>1073</v>
      </c>
      <c r="I1821" s="179">
        <f>SUM(I1817:I1818)</f>
        <v>2000</v>
      </c>
      <c r="J1821" s="162"/>
      <c r="K1821" s="188">
        <f>SUM(I1821:J1821)</f>
        <v>2000</v>
      </c>
      <c r="L1821" s="27"/>
      <c r="M1821" s="1223"/>
      <c r="N1821" s="61"/>
      <c r="O1821" s="61"/>
    </row>
    <row r="1822" spans="1:15" s="642" customFormat="1" x14ac:dyDescent="0.2">
      <c r="A1822" s="94"/>
      <c r="B1822" s="111"/>
      <c r="C1822" s="119"/>
      <c r="D1822" s="99"/>
      <c r="E1822" s="176"/>
      <c r="F1822" s="1"/>
      <c r="G1822" s="38"/>
      <c r="H1822" s="29"/>
      <c r="I1822" s="481"/>
      <c r="J1822" s="60"/>
      <c r="K1822" s="200"/>
      <c r="L1822" s="27"/>
      <c r="M1822" s="1223"/>
      <c r="N1822" s="61"/>
      <c r="O1822" s="61"/>
    </row>
    <row r="1823" spans="1:15" s="642" customFormat="1" ht="22.5" x14ac:dyDescent="0.2">
      <c r="A1823" s="94"/>
      <c r="B1823" s="111"/>
      <c r="C1823" s="119"/>
      <c r="D1823" s="99"/>
      <c r="E1823" s="176"/>
      <c r="F1823" s="1"/>
      <c r="G1823" s="1"/>
      <c r="H1823" s="1095" t="s">
        <v>986</v>
      </c>
      <c r="I1823" s="286"/>
      <c r="J1823" s="158"/>
      <c r="K1823" s="159"/>
      <c r="L1823" s="27"/>
      <c r="M1823" s="1223"/>
      <c r="N1823" s="61"/>
      <c r="O1823" s="61"/>
    </row>
    <row r="1824" spans="1:15" s="642" customFormat="1" x14ac:dyDescent="0.2">
      <c r="A1824" s="94"/>
      <c r="B1824" s="111"/>
      <c r="C1824" s="119"/>
      <c r="D1824" s="99"/>
      <c r="E1824" s="176"/>
      <c r="F1824" s="284" t="s">
        <v>987</v>
      </c>
      <c r="G1824" s="284">
        <v>424</v>
      </c>
      <c r="H1824" s="285" t="s">
        <v>10</v>
      </c>
      <c r="I1824" s="241">
        <v>6000000</v>
      </c>
      <c r="J1824" s="187"/>
      <c r="K1824" s="187">
        <f>SUM(I1824:J1824)</f>
        <v>6000000</v>
      </c>
      <c r="L1824" s="27"/>
      <c r="M1824" s="1223"/>
      <c r="N1824" s="61"/>
      <c r="O1824" s="61"/>
    </row>
    <row r="1825" spans="1:15" s="642" customFormat="1" x14ac:dyDescent="0.2">
      <c r="A1825" s="94"/>
      <c r="B1825" s="111"/>
      <c r="C1825" s="119"/>
      <c r="D1825" s="99"/>
      <c r="E1825" s="176"/>
      <c r="F1825" s="1"/>
      <c r="G1825" s="38" t="s">
        <v>39</v>
      </c>
      <c r="H1825" s="90" t="s">
        <v>40</v>
      </c>
      <c r="I1825" s="241">
        <f>SUM(I1824)</f>
        <v>6000000</v>
      </c>
      <c r="J1825" s="161"/>
      <c r="K1825" s="187">
        <f>SUM(I1825:J1825)</f>
        <v>6000000</v>
      </c>
      <c r="L1825" s="27"/>
      <c r="M1825" s="1223"/>
      <c r="N1825" s="61"/>
      <c r="O1825" s="61"/>
    </row>
    <row r="1826" spans="1:15" s="642" customFormat="1" x14ac:dyDescent="0.2">
      <c r="A1826" s="94"/>
      <c r="B1826" s="111"/>
      <c r="C1826" s="119"/>
      <c r="D1826" s="99"/>
      <c r="E1826" s="176"/>
      <c r="F1826" s="42"/>
      <c r="G1826" s="43"/>
      <c r="H1826" s="97" t="s">
        <v>1022</v>
      </c>
      <c r="I1826" s="179">
        <f>SUM(I1824:I1824)</f>
        <v>6000000</v>
      </c>
      <c r="J1826" s="162"/>
      <c r="K1826" s="162">
        <f>SUM(I1826:J1826)</f>
        <v>6000000</v>
      </c>
      <c r="L1826" s="27"/>
      <c r="M1826" s="1223"/>
      <c r="N1826" s="61"/>
      <c r="O1826" s="61"/>
    </row>
    <row r="1827" spans="1:15" x14ac:dyDescent="0.2">
      <c r="A1827" s="106"/>
      <c r="B1827" s="113"/>
      <c r="C1827" s="122"/>
      <c r="D1827" s="103"/>
      <c r="E1827" s="250"/>
      <c r="F1827" s="46"/>
      <c r="G1827" s="64"/>
      <c r="H1827" s="55"/>
      <c r="I1827" s="69"/>
      <c r="J1827" s="63"/>
      <c r="K1827" s="203"/>
    </row>
    <row r="1828" spans="1:15" s="642" customFormat="1" x14ac:dyDescent="0.2">
      <c r="A1828" s="94"/>
      <c r="B1828" s="111"/>
      <c r="C1828" s="119"/>
      <c r="D1828" s="99"/>
      <c r="E1828" s="176"/>
      <c r="F1828" s="1"/>
      <c r="G1828" s="1"/>
      <c r="H1828" s="1093" t="s">
        <v>908</v>
      </c>
      <c r="I1828" s="289"/>
      <c r="J1828" s="156"/>
      <c r="K1828" s="157"/>
      <c r="L1828" s="27"/>
      <c r="M1828" s="1223"/>
      <c r="N1828" s="61"/>
      <c r="O1828" s="61"/>
    </row>
    <row r="1829" spans="1:15" s="642" customFormat="1" x14ac:dyDescent="0.2">
      <c r="A1829" s="583"/>
      <c r="B1829" s="781"/>
      <c r="C1829" s="121"/>
      <c r="D1829" s="101"/>
      <c r="E1829" s="177"/>
      <c r="F1829" s="124">
        <v>337</v>
      </c>
      <c r="G1829" s="154" t="s">
        <v>699</v>
      </c>
      <c r="H1829" s="90" t="s">
        <v>21</v>
      </c>
      <c r="I1829" s="241">
        <v>500000</v>
      </c>
      <c r="J1829" s="160"/>
      <c r="K1829" s="187">
        <f>SUM(I1829:J1829)</f>
        <v>500000</v>
      </c>
      <c r="L1829" s="27"/>
      <c r="M1829" s="1223"/>
      <c r="N1829" s="61"/>
      <c r="O1829" s="61"/>
    </row>
    <row r="1830" spans="1:15" s="642" customFormat="1" x14ac:dyDescent="0.2">
      <c r="A1830" s="94"/>
      <c r="B1830" s="111"/>
      <c r="C1830" s="119"/>
      <c r="D1830" s="99"/>
      <c r="E1830" s="176"/>
      <c r="F1830" s="1"/>
      <c r="G1830" s="38" t="s">
        <v>39</v>
      </c>
      <c r="H1830" s="90" t="s">
        <v>40</v>
      </c>
      <c r="I1830" s="241">
        <f>SUM(I1829)</f>
        <v>500000</v>
      </c>
      <c r="J1830" s="161"/>
      <c r="K1830" s="187">
        <f>SUM(I1830:J1830)</f>
        <v>500000</v>
      </c>
      <c r="L1830" s="27"/>
      <c r="M1830" s="1223"/>
      <c r="N1830" s="61"/>
      <c r="O1830" s="61"/>
    </row>
    <row r="1831" spans="1:15" s="642" customFormat="1" x14ac:dyDescent="0.2">
      <c r="A1831" s="583"/>
      <c r="B1831" s="781"/>
      <c r="C1831" s="121"/>
      <c r="D1831" s="101"/>
      <c r="E1831" s="177"/>
      <c r="F1831" s="42"/>
      <c r="G1831" s="43"/>
      <c r="H1831" s="97" t="s">
        <v>909</v>
      </c>
      <c r="I1831" s="179">
        <f>SUM(I1830)</f>
        <v>500000</v>
      </c>
      <c r="J1831" s="162"/>
      <c r="K1831" s="162">
        <f>SUM(I1831:J1831)</f>
        <v>500000</v>
      </c>
      <c r="L1831" s="27"/>
      <c r="M1831" s="1223"/>
      <c r="N1831" s="61"/>
      <c r="O1831" s="61"/>
    </row>
    <row r="1832" spans="1:15" s="642" customFormat="1" x14ac:dyDescent="0.2">
      <c r="A1832" s="94"/>
      <c r="B1832" s="111"/>
      <c r="C1832" s="119"/>
      <c r="D1832" s="99"/>
      <c r="E1832" s="176"/>
      <c r="F1832" s="1"/>
      <c r="G1832" s="38"/>
      <c r="H1832" s="44"/>
      <c r="I1832" s="481"/>
      <c r="J1832" s="47"/>
      <c r="K1832" s="200"/>
      <c r="L1832" s="27"/>
      <c r="M1832" s="1223"/>
      <c r="N1832" s="61"/>
      <c r="O1832" s="61"/>
    </row>
    <row r="1833" spans="1:15" s="642" customFormat="1" ht="22.5" x14ac:dyDescent="0.2">
      <c r="A1833" s="94"/>
      <c r="B1833" s="111"/>
      <c r="C1833" s="119"/>
      <c r="D1833" s="99"/>
      <c r="E1833" s="176"/>
      <c r="F1833" s="201"/>
      <c r="G1833" s="1"/>
      <c r="H1833" s="1095" t="s">
        <v>910</v>
      </c>
      <c r="I1833" s="286"/>
      <c r="J1833" s="158"/>
      <c r="K1833" s="159"/>
      <c r="L1833" s="27"/>
      <c r="M1833" s="1223"/>
      <c r="N1833" s="61"/>
      <c r="O1833" s="61"/>
    </row>
    <row r="1834" spans="1:15" s="642" customFormat="1" x14ac:dyDescent="0.2">
      <c r="A1834" s="94"/>
      <c r="B1834" s="111"/>
      <c r="C1834" s="119"/>
      <c r="D1834" s="99"/>
      <c r="E1834" s="176"/>
      <c r="F1834" s="95" t="s">
        <v>951</v>
      </c>
      <c r="G1834" s="95">
        <v>424</v>
      </c>
      <c r="H1834" s="285" t="s">
        <v>10</v>
      </c>
      <c r="I1834" s="241">
        <v>1</v>
      </c>
      <c r="J1834" s="187"/>
      <c r="K1834" s="187">
        <f>SUM(I1834:J1834)</f>
        <v>1</v>
      </c>
      <c r="L1834" s="27"/>
      <c r="M1834" s="1223"/>
      <c r="N1834" s="61"/>
      <c r="O1834" s="61"/>
    </row>
    <row r="1835" spans="1:15" s="642" customFormat="1" x14ac:dyDescent="0.2">
      <c r="A1835" s="583"/>
      <c r="B1835" s="781"/>
      <c r="C1835" s="121"/>
      <c r="D1835" s="101"/>
      <c r="E1835" s="177"/>
      <c r="F1835" s="124">
        <v>338</v>
      </c>
      <c r="G1835" s="154" t="s">
        <v>332</v>
      </c>
      <c r="H1835" s="90" t="s">
        <v>20</v>
      </c>
      <c r="I1835" s="241">
        <v>310615935</v>
      </c>
      <c r="J1835" s="161"/>
      <c r="K1835" s="187">
        <f>SUM(I1835:J1835)</f>
        <v>310615935</v>
      </c>
      <c r="L1835" s="27"/>
      <c r="M1835" s="1223"/>
      <c r="N1835" s="61"/>
      <c r="O1835" s="61"/>
    </row>
    <row r="1836" spans="1:15" s="642" customFormat="1" x14ac:dyDescent="0.2">
      <c r="A1836" s="94"/>
      <c r="B1836" s="111"/>
      <c r="C1836" s="119"/>
      <c r="D1836" s="99"/>
      <c r="E1836" s="176"/>
      <c r="F1836" s="1"/>
      <c r="G1836" s="38" t="s">
        <v>39</v>
      </c>
      <c r="H1836" s="90" t="s">
        <v>40</v>
      </c>
      <c r="I1836" s="241">
        <f>SUM(I1838-I1837)</f>
        <v>16149597.5</v>
      </c>
      <c r="J1836" s="161"/>
      <c r="K1836" s="187">
        <f>SUM(I1836:J1836)</f>
        <v>16149597.5</v>
      </c>
      <c r="L1836" s="27"/>
      <c r="M1836" s="1223"/>
      <c r="N1836" s="61"/>
      <c r="O1836" s="61"/>
    </row>
    <row r="1837" spans="1:15" s="642" customFormat="1" x14ac:dyDescent="0.2">
      <c r="A1837" s="94"/>
      <c r="B1837" s="111"/>
      <c r="C1837" s="119"/>
      <c r="D1837" s="99"/>
      <c r="E1837" s="176"/>
      <c r="F1837" s="1"/>
      <c r="G1837" s="38" t="s">
        <v>157</v>
      </c>
      <c r="H1837" s="90" t="s">
        <v>354</v>
      </c>
      <c r="I1837" s="241">
        <v>294466338.5</v>
      </c>
      <c r="J1837" s="161"/>
      <c r="K1837" s="187">
        <f>SUM(I1837:J1837)</f>
        <v>294466338.5</v>
      </c>
      <c r="L1837" s="27"/>
      <c r="M1837" s="1223"/>
      <c r="N1837" s="61"/>
      <c r="O1837" s="61"/>
    </row>
    <row r="1838" spans="1:15" s="642" customFormat="1" x14ac:dyDescent="0.2">
      <c r="A1838" s="583"/>
      <c r="B1838" s="781"/>
      <c r="C1838" s="121"/>
      <c r="D1838" s="101"/>
      <c r="E1838" s="177"/>
      <c r="F1838" s="42"/>
      <c r="G1838" s="43"/>
      <c r="H1838" s="97" t="s">
        <v>751</v>
      </c>
      <c r="I1838" s="179">
        <f>SUM(I1834:I1835)</f>
        <v>310615936</v>
      </c>
      <c r="J1838" s="162"/>
      <c r="K1838" s="162">
        <f>SUM(I1838:J1838)</f>
        <v>310615936</v>
      </c>
      <c r="L1838" s="27"/>
      <c r="M1838" s="1223"/>
      <c r="N1838" s="61"/>
      <c r="O1838" s="61"/>
    </row>
    <row r="1839" spans="1:15" s="642" customFormat="1" x14ac:dyDescent="0.2">
      <c r="A1839" s="94"/>
      <c r="B1839" s="111"/>
      <c r="C1839" s="119"/>
      <c r="D1839" s="99"/>
      <c r="E1839" s="176"/>
      <c r="F1839" s="1"/>
      <c r="G1839" s="38"/>
      <c r="H1839" s="44"/>
      <c r="I1839" s="481"/>
      <c r="J1839" s="47"/>
      <c r="K1839" s="200"/>
      <c r="L1839" s="27"/>
      <c r="M1839" s="1223"/>
      <c r="N1839" s="61"/>
      <c r="O1839" s="61"/>
    </row>
    <row r="1840" spans="1:15" s="642" customFormat="1" ht="22.5" x14ac:dyDescent="0.2">
      <c r="A1840" s="94"/>
      <c r="B1840" s="111"/>
      <c r="C1840" s="119"/>
      <c r="D1840" s="99"/>
      <c r="E1840" s="176"/>
      <c r="F1840" s="1"/>
      <c r="G1840" s="38"/>
      <c r="H1840" s="1095" t="s">
        <v>911</v>
      </c>
      <c r="I1840" s="286"/>
      <c r="J1840" s="158"/>
      <c r="K1840" s="159"/>
      <c r="L1840" s="27"/>
      <c r="M1840" s="1223"/>
      <c r="N1840" s="61"/>
      <c r="O1840" s="61"/>
    </row>
    <row r="1841" spans="1:15" s="642" customFormat="1" x14ac:dyDescent="0.2">
      <c r="A1841" s="583"/>
      <c r="B1841" s="781"/>
      <c r="C1841" s="121"/>
      <c r="D1841" s="101"/>
      <c r="E1841" s="177"/>
      <c r="F1841" s="124">
        <v>339</v>
      </c>
      <c r="G1841" s="154" t="s">
        <v>332</v>
      </c>
      <c r="H1841" s="90" t="s">
        <v>20</v>
      </c>
      <c r="I1841" s="1103">
        <v>72138118.730000004</v>
      </c>
      <c r="J1841" s="161"/>
      <c r="K1841" s="187">
        <f>SUM(I1841:J1841)</f>
        <v>72138118.730000004</v>
      </c>
      <c r="L1841" s="27"/>
      <c r="M1841" s="1223"/>
      <c r="N1841" s="61"/>
      <c r="O1841" s="61"/>
    </row>
    <row r="1842" spans="1:15" s="642" customFormat="1" x14ac:dyDescent="0.2">
      <c r="A1842" s="94"/>
      <c r="B1842" s="111"/>
      <c r="C1842" s="119"/>
      <c r="D1842" s="99"/>
      <c r="E1842" s="176"/>
      <c r="F1842" s="1"/>
      <c r="G1842" s="38" t="s">
        <v>39</v>
      </c>
      <c r="H1842" s="90" t="s">
        <v>40</v>
      </c>
      <c r="I1842" s="241">
        <f>SUM(I1841-I1843)</f>
        <v>38974563.320000008</v>
      </c>
      <c r="J1842" s="161"/>
      <c r="K1842" s="187">
        <f>SUM(I1842:J1842)</f>
        <v>38974563.320000008</v>
      </c>
      <c r="L1842" s="27"/>
      <c r="M1842" s="1223"/>
      <c r="N1842" s="61"/>
      <c r="O1842" s="61"/>
    </row>
    <row r="1843" spans="1:15" s="642" customFormat="1" x14ac:dyDescent="0.2">
      <c r="A1843" s="94"/>
      <c r="B1843" s="111"/>
      <c r="C1843" s="119"/>
      <c r="D1843" s="99"/>
      <c r="E1843" s="176"/>
      <c r="F1843" s="1"/>
      <c r="G1843" s="38" t="s">
        <v>157</v>
      </c>
      <c r="H1843" s="90" t="s">
        <v>354</v>
      </c>
      <c r="I1843" s="241">
        <v>33163555.41</v>
      </c>
      <c r="J1843" s="160"/>
      <c r="K1843" s="187">
        <f>SUM(I1843:J1843)</f>
        <v>33163555.41</v>
      </c>
      <c r="L1843" s="27"/>
      <c r="M1843" s="1223"/>
      <c r="N1843" s="61"/>
      <c r="O1843" s="61"/>
    </row>
    <row r="1844" spans="1:15" s="642" customFormat="1" x14ac:dyDescent="0.2">
      <c r="A1844" s="583"/>
      <c r="B1844" s="781"/>
      <c r="C1844" s="121"/>
      <c r="D1844" s="101"/>
      <c r="E1844" s="177"/>
      <c r="F1844" s="42"/>
      <c r="G1844" s="43"/>
      <c r="H1844" s="97" t="s">
        <v>912</v>
      </c>
      <c r="I1844" s="179">
        <f>SUM(I1842:I1843)</f>
        <v>72138118.730000004</v>
      </c>
      <c r="J1844" s="162"/>
      <c r="K1844" s="162">
        <f>SUM(K1842:K1843)</f>
        <v>72138118.730000004</v>
      </c>
      <c r="L1844" s="27"/>
      <c r="M1844" s="1223"/>
      <c r="N1844" s="61"/>
      <c r="O1844" s="61"/>
    </row>
    <row r="1845" spans="1:15" x14ac:dyDescent="0.2">
      <c r="A1845" s="106"/>
      <c r="B1845" s="113"/>
      <c r="C1845" s="122"/>
      <c r="D1845" s="103"/>
      <c r="E1845" s="250"/>
      <c r="F1845" s="46"/>
      <c r="G1845" s="64"/>
      <c r="H1845" s="55"/>
      <c r="I1845" s="69"/>
      <c r="J1845" s="63"/>
      <c r="K1845" s="203"/>
    </row>
    <row r="1846" spans="1:15" s="642" customFormat="1" ht="22.5" x14ac:dyDescent="0.2">
      <c r="A1846" s="94"/>
      <c r="B1846" s="111"/>
      <c r="C1846" s="119"/>
      <c r="D1846" s="99"/>
      <c r="E1846" s="176"/>
      <c r="F1846" s="201"/>
      <c r="G1846" s="1050"/>
      <c r="H1846" s="1093" t="s">
        <v>913</v>
      </c>
      <c r="I1846" s="289"/>
      <c r="J1846" s="156"/>
      <c r="K1846" s="157"/>
      <c r="L1846" s="27"/>
      <c r="M1846" s="1223"/>
      <c r="N1846" s="61"/>
      <c r="O1846" s="61"/>
    </row>
    <row r="1847" spans="1:15" s="642" customFormat="1" x14ac:dyDescent="0.2">
      <c r="A1847" s="583"/>
      <c r="B1847" s="781"/>
      <c r="C1847" s="121"/>
      <c r="D1847" s="101"/>
      <c r="E1847" s="177"/>
      <c r="F1847" s="124">
        <v>340</v>
      </c>
      <c r="G1847" s="154" t="s">
        <v>51</v>
      </c>
      <c r="H1847" s="90" t="s">
        <v>10</v>
      </c>
      <c r="I1847" s="241">
        <v>2000000</v>
      </c>
      <c r="J1847" s="160"/>
      <c r="K1847" s="187">
        <f>SUM(I1847:J1847)</f>
        <v>2000000</v>
      </c>
      <c r="L1847" s="27"/>
      <c r="M1847" s="1223"/>
      <c r="N1847" s="61"/>
      <c r="O1847" s="61"/>
    </row>
    <row r="1848" spans="1:15" s="642" customFormat="1" x14ac:dyDescent="0.2">
      <c r="A1848" s="94"/>
      <c r="B1848" s="111"/>
      <c r="C1848" s="119"/>
      <c r="D1848" s="99"/>
      <c r="E1848" s="176"/>
      <c r="F1848" s="1"/>
      <c r="G1848" s="38" t="s">
        <v>39</v>
      </c>
      <c r="H1848" s="90" t="s">
        <v>40</v>
      </c>
      <c r="I1848" s="241">
        <f>SUM(I1847)</f>
        <v>2000000</v>
      </c>
      <c r="J1848" s="160"/>
      <c r="K1848" s="187">
        <f>SUM(I1848:J1848)</f>
        <v>2000000</v>
      </c>
      <c r="L1848" s="27"/>
      <c r="M1848" s="1223"/>
      <c r="N1848" s="61"/>
      <c r="O1848" s="61"/>
    </row>
    <row r="1849" spans="1:15" s="642" customFormat="1" x14ac:dyDescent="0.2">
      <c r="A1849" s="583"/>
      <c r="B1849" s="781"/>
      <c r="C1849" s="121"/>
      <c r="D1849" s="101"/>
      <c r="E1849" s="177"/>
      <c r="F1849" s="42"/>
      <c r="G1849" s="43"/>
      <c r="H1849" s="97" t="s">
        <v>914</v>
      </c>
      <c r="I1849" s="179">
        <f>SUM(I1848)</f>
        <v>2000000</v>
      </c>
      <c r="J1849" s="162"/>
      <c r="K1849" s="162">
        <f>SUM(I1849:J1849)</f>
        <v>2000000</v>
      </c>
      <c r="L1849" s="27"/>
      <c r="M1849" s="1223"/>
      <c r="N1849" s="61"/>
      <c r="O1849" s="61"/>
    </row>
    <row r="1850" spans="1:15" x14ac:dyDescent="0.2">
      <c r="A1850" s="106"/>
      <c r="B1850" s="113"/>
      <c r="C1850" s="122"/>
      <c r="D1850" s="103"/>
      <c r="E1850" s="250"/>
      <c r="F1850" s="46"/>
      <c r="G1850" s="64"/>
      <c r="H1850" s="55"/>
      <c r="I1850" s="69"/>
      <c r="J1850" s="63"/>
      <c r="K1850" s="203"/>
    </row>
    <row r="1851" spans="1:15" ht="33.75" x14ac:dyDescent="0.2">
      <c r="A1851" s="106"/>
      <c r="B1851" s="113"/>
      <c r="C1851" s="122"/>
      <c r="D1851" s="103"/>
      <c r="E1851" s="250"/>
      <c r="F1851" s="1"/>
      <c r="G1851" s="38"/>
      <c r="H1851" s="1095" t="s">
        <v>915</v>
      </c>
      <c r="I1851" s="286"/>
      <c r="J1851" s="158"/>
      <c r="K1851" s="159"/>
    </row>
    <row r="1852" spans="1:15" x14ac:dyDescent="0.2">
      <c r="A1852" s="106"/>
      <c r="B1852" s="113"/>
      <c r="C1852" s="122"/>
      <c r="D1852" s="103"/>
      <c r="E1852" s="250"/>
      <c r="F1852" s="95">
        <v>341</v>
      </c>
      <c r="G1852" s="154" t="s">
        <v>51</v>
      </c>
      <c r="H1852" s="90" t="s">
        <v>10</v>
      </c>
      <c r="I1852" s="241">
        <v>360000</v>
      </c>
      <c r="J1852" s="187"/>
      <c r="K1852" s="187">
        <f t="shared" ref="K1852:K1857" si="91">SUM(I1852:J1852)</f>
        <v>360000</v>
      </c>
    </row>
    <row r="1853" spans="1:15" x14ac:dyDescent="0.2">
      <c r="A1853" s="107"/>
      <c r="B1853" s="114"/>
      <c r="C1853" s="123"/>
      <c r="D1853" s="104"/>
      <c r="E1853" s="253"/>
      <c r="F1853" s="124">
        <v>342</v>
      </c>
      <c r="G1853" s="154" t="s">
        <v>332</v>
      </c>
      <c r="H1853" s="90" t="s">
        <v>20</v>
      </c>
      <c r="I1853" s="241">
        <f>20103864.9+240000</f>
        <v>20343864.899999999</v>
      </c>
      <c r="J1853" s="161"/>
      <c r="K1853" s="187">
        <f t="shared" si="91"/>
        <v>20343864.899999999</v>
      </c>
    </row>
    <row r="1854" spans="1:15" x14ac:dyDescent="0.2">
      <c r="A1854" s="106"/>
      <c r="B1854" s="113"/>
      <c r="C1854" s="122"/>
      <c r="D1854" s="103"/>
      <c r="E1854" s="250"/>
      <c r="F1854" s="1"/>
      <c r="G1854" s="38" t="s">
        <v>39</v>
      </c>
      <c r="H1854" s="90" t="s">
        <v>40</v>
      </c>
      <c r="I1854" s="241">
        <f>SUM(I1857-I1855-I1856)</f>
        <v>10651932.449999999</v>
      </c>
      <c r="J1854" s="161"/>
      <c r="K1854" s="187">
        <f t="shared" si="91"/>
        <v>10651932.449999999</v>
      </c>
    </row>
    <row r="1855" spans="1:15" x14ac:dyDescent="0.2">
      <c r="A1855" s="106"/>
      <c r="B1855" s="113"/>
      <c r="C1855" s="122"/>
      <c r="D1855" s="103"/>
      <c r="E1855" s="250"/>
      <c r="F1855" s="1"/>
      <c r="G1855" s="38" t="s">
        <v>157</v>
      </c>
      <c r="H1855" s="90" t="s">
        <v>354</v>
      </c>
      <c r="I1855" s="241">
        <v>5025966.22</v>
      </c>
      <c r="J1855" s="161"/>
      <c r="K1855" s="187">
        <f t="shared" si="91"/>
        <v>5025966.22</v>
      </c>
    </row>
    <row r="1856" spans="1:15" x14ac:dyDescent="0.2">
      <c r="A1856" s="106"/>
      <c r="B1856" s="113"/>
      <c r="C1856" s="122"/>
      <c r="D1856" s="103"/>
      <c r="E1856" s="250"/>
      <c r="F1856" s="1"/>
      <c r="G1856" s="38" t="s">
        <v>1141</v>
      </c>
      <c r="H1856" s="90" t="s">
        <v>1142</v>
      </c>
      <c r="I1856" s="241">
        <v>5025966.2300000004</v>
      </c>
      <c r="J1856" s="161"/>
      <c r="K1856" s="187">
        <f t="shared" si="91"/>
        <v>5025966.2300000004</v>
      </c>
    </row>
    <row r="1857" spans="1:15" x14ac:dyDescent="0.2">
      <c r="A1857" s="107"/>
      <c r="B1857" s="114"/>
      <c r="C1857" s="123"/>
      <c r="D1857" s="104"/>
      <c r="E1857" s="253"/>
      <c r="F1857" s="42"/>
      <c r="G1857" s="43"/>
      <c r="H1857" s="96" t="s">
        <v>916</v>
      </c>
      <c r="I1857" s="178">
        <f>SUM(I1852:I1853)</f>
        <v>20703864.899999999</v>
      </c>
      <c r="J1857" s="161"/>
      <c r="K1857" s="188">
        <f t="shared" si="91"/>
        <v>20703864.899999999</v>
      </c>
    </row>
    <row r="1858" spans="1:15" x14ac:dyDescent="0.2">
      <c r="A1858" s="106"/>
      <c r="B1858" s="113"/>
      <c r="C1858" s="122"/>
      <c r="D1858" s="103"/>
      <c r="E1858" s="250"/>
      <c r="F1858" s="46"/>
      <c r="G1858" s="64"/>
      <c r="H1858" s="55"/>
      <c r="I1858" s="69"/>
      <c r="J1858" s="63"/>
      <c r="K1858" s="203"/>
    </row>
    <row r="1859" spans="1:15" s="642" customFormat="1" ht="45" x14ac:dyDescent="0.2">
      <c r="A1859" s="94"/>
      <c r="B1859" s="111"/>
      <c r="C1859" s="119"/>
      <c r="D1859" s="99"/>
      <c r="E1859" s="176"/>
      <c r="F1859" s="1"/>
      <c r="G1859" s="38"/>
      <c r="H1859" s="1095" t="s">
        <v>917</v>
      </c>
      <c r="I1859" s="286"/>
      <c r="J1859" s="158"/>
      <c r="K1859" s="159"/>
      <c r="L1859" s="27"/>
      <c r="M1859" s="1223"/>
      <c r="N1859" s="61"/>
      <c r="O1859" s="61"/>
    </row>
    <row r="1860" spans="1:15" s="642" customFormat="1" x14ac:dyDescent="0.2">
      <c r="A1860" s="94"/>
      <c r="B1860" s="111"/>
      <c r="C1860" s="119"/>
      <c r="D1860" s="99"/>
      <c r="E1860" s="176"/>
      <c r="F1860" s="95">
        <v>343</v>
      </c>
      <c r="G1860" s="154" t="s">
        <v>51</v>
      </c>
      <c r="H1860" s="90" t="s">
        <v>10</v>
      </c>
      <c r="I1860" s="241">
        <v>84000</v>
      </c>
      <c r="J1860" s="187"/>
      <c r="K1860" s="187">
        <f>SUM(I1860:J1860)</f>
        <v>84000</v>
      </c>
      <c r="L1860" s="27"/>
      <c r="M1860" s="1223"/>
      <c r="N1860" s="61"/>
      <c r="O1860" s="61"/>
    </row>
    <row r="1861" spans="1:15" s="642" customFormat="1" x14ac:dyDescent="0.2">
      <c r="A1861" s="94"/>
      <c r="B1861" s="111"/>
      <c r="C1861" s="119"/>
      <c r="D1861" s="99"/>
      <c r="E1861" s="176"/>
      <c r="F1861" s="124">
        <v>344</v>
      </c>
      <c r="G1861" s="154" t="s">
        <v>332</v>
      </c>
      <c r="H1861" s="90" t="s">
        <v>20</v>
      </c>
      <c r="I1861" s="241">
        <v>4200000</v>
      </c>
      <c r="J1861" s="161"/>
      <c r="K1861" s="187">
        <f>SUM(I1861:J1861)</f>
        <v>4200000</v>
      </c>
      <c r="L1861" s="27"/>
      <c r="M1861" s="1223"/>
      <c r="N1861" s="61"/>
      <c r="O1861" s="61"/>
    </row>
    <row r="1862" spans="1:15" s="642" customFormat="1" x14ac:dyDescent="0.2">
      <c r="A1862" s="94"/>
      <c r="B1862" s="111"/>
      <c r="C1862" s="119"/>
      <c r="D1862" s="99"/>
      <c r="E1862" s="176"/>
      <c r="F1862" s="1"/>
      <c r="G1862" s="38" t="s">
        <v>39</v>
      </c>
      <c r="H1862" s="90" t="s">
        <v>40</v>
      </c>
      <c r="I1862" s="241">
        <f>SUM(I1860:I1861)</f>
        <v>4284000</v>
      </c>
      <c r="J1862" s="161"/>
      <c r="K1862" s="187">
        <f>SUM(I1862:J1862)</f>
        <v>4284000</v>
      </c>
      <c r="L1862" s="27"/>
      <c r="M1862" s="1223"/>
      <c r="N1862" s="61"/>
      <c r="O1862" s="61"/>
    </row>
    <row r="1863" spans="1:15" s="642" customFormat="1" x14ac:dyDescent="0.2">
      <c r="A1863" s="94"/>
      <c r="B1863" s="111"/>
      <c r="C1863" s="119"/>
      <c r="D1863" s="99"/>
      <c r="E1863" s="176"/>
      <c r="F1863" s="1"/>
      <c r="G1863" s="38"/>
      <c r="H1863" s="96" t="s">
        <v>918</v>
      </c>
      <c r="I1863" s="178">
        <f>SUM(I1862)</f>
        <v>4284000</v>
      </c>
      <c r="J1863" s="161"/>
      <c r="K1863" s="188">
        <f>SUM(I1863:J1863)</f>
        <v>4284000</v>
      </c>
      <c r="L1863" s="27"/>
      <c r="M1863" s="1223"/>
      <c r="N1863" s="61"/>
      <c r="O1863" s="61"/>
    </row>
    <row r="1864" spans="1:15" s="642" customFormat="1" x14ac:dyDescent="0.2">
      <c r="A1864" s="94"/>
      <c r="B1864" s="111"/>
      <c r="C1864" s="119"/>
      <c r="D1864" s="99"/>
      <c r="E1864" s="176"/>
      <c r="F1864" s="1"/>
      <c r="G1864" s="38"/>
      <c r="H1864" s="44"/>
      <c r="I1864" s="481"/>
      <c r="J1864" s="47"/>
      <c r="K1864" s="200"/>
      <c r="L1864" s="27"/>
      <c r="M1864" s="1223"/>
      <c r="N1864" s="61"/>
      <c r="O1864" s="61"/>
    </row>
    <row r="1865" spans="1:15" s="642" customFormat="1" ht="22.5" x14ac:dyDescent="0.2">
      <c r="A1865" s="1027"/>
      <c r="B1865" s="1104"/>
      <c r="C1865" s="888"/>
      <c r="D1865" s="1027"/>
      <c r="E1865" s="1065"/>
      <c r="F1865" s="201"/>
      <c r="G1865" s="1050"/>
      <c r="H1865" s="1093" t="s">
        <v>919</v>
      </c>
      <c r="I1865" s="1105"/>
      <c r="J1865" s="1105"/>
      <c r="K1865" s="1106"/>
      <c r="L1865" s="27"/>
      <c r="M1865" s="1223"/>
      <c r="N1865" s="61"/>
      <c r="O1865" s="61"/>
    </row>
    <row r="1866" spans="1:15" s="642" customFormat="1" x14ac:dyDescent="0.2">
      <c r="A1866" s="1080"/>
      <c r="B1866" s="1107"/>
      <c r="C1866" s="1079"/>
      <c r="D1866" s="1080"/>
      <c r="E1866" s="1081"/>
      <c r="F1866" s="124">
        <v>345</v>
      </c>
      <c r="G1866" s="154" t="s">
        <v>332</v>
      </c>
      <c r="H1866" s="90" t="s">
        <v>20</v>
      </c>
      <c r="I1866" s="160">
        <v>600000</v>
      </c>
      <c r="J1866" s="160"/>
      <c r="K1866" s="160">
        <f>SUM(I1866:J1866)</f>
        <v>600000</v>
      </c>
      <c r="L1866" s="27"/>
      <c r="M1866" s="1223"/>
      <c r="N1866" s="61"/>
      <c r="O1866" s="61"/>
    </row>
    <row r="1867" spans="1:15" s="642" customFormat="1" x14ac:dyDescent="0.2">
      <c r="A1867" s="1027"/>
      <c r="B1867" s="1104"/>
      <c r="C1867" s="888"/>
      <c r="D1867" s="1027"/>
      <c r="E1867" s="1065"/>
      <c r="F1867" s="201"/>
      <c r="G1867" s="38" t="s">
        <v>39</v>
      </c>
      <c r="H1867" s="90" t="s">
        <v>40</v>
      </c>
      <c r="I1867" s="160">
        <f>SUM(I1866)</f>
        <v>600000</v>
      </c>
      <c r="J1867" s="160"/>
      <c r="K1867" s="160">
        <f>SUM(I1867:J1867)</f>
        <v>600000</v>
      </c>
      <c r="L1867" s="27"/>
      <c r="M1867" s="1223"/>
      <c r="N1867" s="61"/>
      <c r="O1867" s="61"/>
    </row>
    <row r="1868" spans="1:15" s="642" customFormat="1" x14ac:dyDescent="0.2">
      <c r="A1868" s="1080"/>
      <c r="B1868" s="1107"/>
      <c r="C1868" s="1079"/>
      <c r="D1868" s="1080"/>
      <c r="E1868" s="1081"/>
      <c r="F1868" s="1076"/>
      <c r="G1868" s="43"/>
      <c r="H1868" s="96" t="s">
        <v>920</v>
      </c>
      <c r="I1868" s="161">
        <f>SUM(I1867)</f>
        <v>600000</v>
      </c>
      <c r="J1868" s="161"/>
      <c r="K1868" s="161">
        <f>SUM(I1868:J1868)</f>
        <v>600000</v>
      </c>
      <c r="L1868" s="27"/>
      <c r="M1868" s="1223"/>
      <c r="N1868" s="61"/>
      <c r="O1868" s="61"/>
    </row>
    <row r="1869" spans="1:15" x14ac:dyDescent="0.2">
      <c r="A1869" s="106"/>
      <c r="B1869" s="113"/>
      <c r="C1869" s="122"/>
      <c r="D1869" s="103"/>
      <c r="E1869" s="250"/>
      <c r="F1869" s="46"/>
      <c r="G1869" s="64"/>
      <c r="H1869" s="55"/>
      <c r="I1869" s="69"/>
      <c r="J1869" s="63"/>
      <c r="K1869" s="203"/>
    </row>
    <row r="1870" spans="1:15" s="642" customFormat="1" x14ac:dyDescent="0.2">
      <c r="A1870" s="917"/>
      <c r="B1870" s="789"/>
      <c r="C1870" s="790"/>
      <c r="D1870" s="148" t="s">
        <v>306</v>
      </c>
      <c r="E1870" s="767"/>
      <c r="F1870" s="134"/>
      <c r="G1870" s="135"/>
      <c r="H1870" s="988" t="s">
        <v>704</v>
      </c>
      <c r="I1870" s="221">
        <f>SUM(I1880)</f>
        <v>2000</v>
      </c>
      <c r="J1870" s="221"/>
      <c r="K1870" s="222">
        <f>SUM(I1870:J1870)</f>
        <v>2000</v>
      </c>
      <c r="L1870" s="887"/>
      <c r="M1870" s="1223"/>
      <c r="N1870" s="61"/>
      <c r="O1870" s="61"/>
    </row>
    <row r="1871" spans="1:15" s="642" customFormat="1" x14ac:dyDescent="0.2">
      <c r="A1871" s="108"/>
      <c r="B1871" s="890"/>
      <c r="C1871" s="116"/>
      <c r="D1871" s="126"/>
      <c r="E1871" s="248"/>
      <c r="F1871" s="37"/>
      <c r="G1871" s="30"/>
      <c r="H1871" s="51"/>
      <c r="I1871" s="60"/>
      <c r="J1871" s="60"/>
      <c r="K1871" s="200"/>
      <c r="L1871" s="891"/>
      <c r="M1871" s="1223"/>
      <c r="N1871" s="61"/>
      <c r="O1871" s="61"/>
    </row>
    <row r="1872" spans="1:15" s="642" customFormat="1" x14ac:dyDescent="0.2">
      <c r="A1872" s="94"/>
      <c r="B1872" s="111"/>
      <c r="C1872" s="111">
        <v>620</v>
      </c>
      <c r="D1872" s="129"/>
      <c r="E1872" s="128"/>
      <c r="F1872" s="1"/>
      <c r="G1872" s="40"/>
      <c r="H1872" s="168" t="s">
        <v>142</v>
      </c>
      <c r="I1872" s="171"/>
      <c r="J1872" s="171"/>
      <c r="K1872" s="172"/>
      <c r="L1872" s="27"/>
      <c r="M1872" s="1223"/>
      <c r="N1872" s="61"/>
      <c r="O1872" s="61"/>
    </row>
    <row r="1873" spans="1:15" s="642" customFormat="1" x14ac:dyDescent="0.2">
      <c r="A1873" s="94"/>
      <c r="B1873" s="111"/>
      <c r="C1873" s="119"/>
      <c r="D1873" s="99"/>
      <c r="E1873" s="176"/>
      <c r="F1873" s="1"/>
      <c r="G1873" s="38"/>
      <c r="H1873" s="44"/>
      <c r="I1873" s="481"/>
      <c r="J1873" s="47"/>
      <c r="K1873" s="200"/>
      <c r="L1873" s="27"/>
      <c r="M1873" s="1223"/>
      <c r="N1873" s="61"/>
      <c r="O1873" s="61"/>
    </row>
    <row r="1874" spans="1:15" s="893" customFormat="1" ht="14.25" customHeight="1" x14ac:dyDescent="0.2">
      <c r="A1874" s="94"/>
      <c r="B1874" s="111"/>
      <c r="C1874" s="119"/>
      <c r="D1874" s="99"/>
      <c r="E1874" s="128">
        <v>1801</v>
      </c>
      <c r="F1874" s="1"/>
      <c r="G1874" s="38"/>
      <c r="H1874" s="1004" t="s">
        <v>330</v>
      </c>
      <c r="I1874" s="289"/>
      <c r="J1874" s="156"/>
      <c r="K1874" s="157"/>
      <c r="L1874" s="27"/>
      <c r="M1874" s="1224"/>
      <c r="N1874" s="892"/>
      <c r="O1874" s="892"/>
    </row>
    <row r="1875" spans="1:15" s="896" customFormat="1" ht="9.75" customHeight="1" x14ac:dyDescent="0.2">
      <c r="A1875" s="583"/>
      <c r="B1875" s="781"/>
      <c r="C1875" s="121"/>
      <c r="D1875" s="101"/>
      <c r="E1875" s="176"/>
      <c r="F1875" s="42"/>
      <c r="G1875" s="43"/>
      <c r="H1875" s="784"/>
      <c r="I1875" s="477"/>
      <c r="J1875" s="1108"/>
      <c r="K1875" s="479"/>
      <c r="L1875" s="27"/>
      <c r="M1875" s="1225"/>
      <c r="N1875" s="895"/>
      <c r="O1875" s="895"/>
    </row>
    <row r="1876" spans="1:15" s="642" customFormat="1" ht="22.5" x14ac:dyDescent="0.2">
      <c r="A1876" s="919"/>
      <c r="B1876" s="787"/>
      <c r="C1876" s="120"/>
      <c r="D1876" s="473"/>
      <c r="E1876" s="246"/>
      <c r="G1876" s="41"/>
      <c r="H1876" s="1093" t="s">
        <v>833</v>
      </c>
      <c r="I1876" s="289"/>
      <c r="J1876" s="156"/>
      <c r="K1876" s="157"/>
      <c r="L1876" s="27"/>
      <c r="M1876" s="1223"/>
      <c r="N1876" s="61"/>
      <c r="O1876" s="61"/>
    </row>
    <row r="1877" spans="1:15" s="642" customFormat="1" x14ac:dyDescent="0.2">
      <c r="A1877" s="94"/>
      <c r="B1877" s="111"/>
      <c r="C1877" s="119"/>
      <c r="D1877" s="184"/>
      <c r="E1877" s="176"/>
      <c r="F1877" s="41">
        <v>346</v>
      </c>
      <c r="G1877" s="95">
        <v>424</v>
      </c>
      <c r="H1877" s="90" t="s">
        <v>10</v>
      </c>
      <c r="I1877" s="241">
        <v>1000</v>
      </c>
      <c r="J1877" s="188"/>
      <c r="K1877" s="187">
        <f>SUM(I1877:J1877)</f>
        <v>1000</v>
      </c>
      <c r="L1877" s="26"/>
      <c r="M1877" s="1223"/>
      <c r="N1877" s="61"/>
      <c r="O1877" s="61"/>
    </row>
    <row r="1878" spans="1:15" s="642" customFormat="1" x14ac:dyDescent="0.2">
      <c r="A1878" s="583"/>
      <c r="B1878" s="781"/>
      <c r="C1878" s="121"/>
      <c r="D1878" s="475"/>
      <c r="E1878" s="177"/>
      <c r="F1878" s="95">
        <v>347</v>
      </c>
      <c r="G1878" s="154" t="s">
        <v>332</v>
      </c>
      <c r="H1878" s="90" t="s">
        <v>20</v>
      </c>
      <c r="I1878" s="241">
        <v>1000</v>
      </c>
      <c r="J1878" s="160"/>
      <c r="K1878" s="187">
        <f>SUM(I1878:J1878)</f>
        <v>1000</v>
      </c>
      <c r="L1878" s="26"/>
      <c r="M1878" s="1223"/>
      <c r="N1878" s="61"/>
      <c r="O1878" s="61"/>
    </row>
    <row r="1879" spans="1:15" s="642" customFormat="1" x14ac:dyDescent="0.2">
      <c r="A1879" s="94"/>
      <c r="B1879" s="111"/>
      <c r="C1879" s="119"/>
      <c r="D1879" s="99"/>
      <c r="E1879" s="176"/>
      <c r="F1879" s="1"/>
      <c r="G1879" s="38" t="s">
        <v>39</v>
      </c>
      <c r="H1879" s="90" t="s">
        <v>40</v>
      </c>
      <c r="I1879" s="241">
        <f>SUM(I1877:I1878)</f>
        <v>2000</v>
      </c>
      <c r="J1879" s="161"/>
      <c r="K1879" s="187">
        <f>SUM(I1879:J1879)</f>
        <v>2000</v>
      </c>
      <c r="L1879" s="27"/>
      <c r="M1879" s="1223"/>
      <c r="N1879" s="61"/>
      <c r="O1879" s="61"/>
    </row>
    <row r="1880" spans="1:15" s="642" customFormat="1" x14ac:dyDescent="0.2">
      <c r="A1880" s="583"/>
      <c r="B1880" s="781"/>
      <c r="C1880" s="121"/>
      <c r="D1880" s="101"/>
      <c r="E1880" s="177"/>
      <c r="F1880" s="42"/>
      <c r="G1880" s="43"/>
      <c r="H1880" s="97" t="s">
        <v>355</v>
      </c>
      <c r="I1880" s="179">
        <f>SUM(I1879)</f>
        <v>2000</v>
      </c>
      <c r="J1880" s="162"/>
      <c r="K1880" s="162">
        <f>SUM(I1880:J1880)</f>
        <v>2000</v>
      </c>
      <c r="L1880" s="27"/>
      <c r="M1880" s="1223"/>
      <c r="N1880" s="61"/>
      <c r="O1880" s="61"/>
    </row>
    <row r="1881" spans="1:15" s="642" customFormat="1" x14ac:dyDescent="0.2">
      <c r="A1881" s="94"/>
      <c r="B1881" s="111"/>
      <c r="C1881" s="119"/>
      <c r="D1881" s="99"/>
      <c r="E1881" s="176"/>
      <c r="F1881" s="1"/>
      <c r="G1881" s="38"/>
      <c r="H1881" s="44"/>
      <c r="I1881" s="481"/>
      <c r="J1881" s="47"/>
      <c r="K1881" s="200"/>
      <c r="L1881" s="27"/>
      <c r="M1881" s="1223"/>
      <c r="N1881" s="61"/>
      <c r="O1881" s="61"/>
    </row>
    <row r="1882" spans="1:15" s="642" customFormat="1" x14ac:dyDescent="0.2">
      <c r="A1882" s="917"/>
      <c r="B1882" s="789"/>
      <c r="C1882" s="790"/>
      <c r="D1882" s="148" t="s">
        <v>298</v>
      </c>
      <c r="E1882" s="767"/>
      <c r="F1882" s="134"/>
      <c r="G1882" s="135"/>
      <c r="H1882" s="220" t="s">
        <v>299</v>
      </c>
      <c r="I1882" s="221">
        <f>SUM(I1904+I1909+I1915+I1920+I1927+I1941+I1953+I1897+I1958+I1948+I1892+I1971+I1935+I1963)</f>
        <v>143964331.59</v>
      </c>
      <c r="J1882" s="908"/>
      <c r="K1882" s="222">
        <f>SUM(I1882:J1882)</f>
        <v>143964331.59</v>
      </c>
      <c r="L1882" s="887"/>
      <c r="M1882" s="1223"/>
      <c r="N1882" s="61"/>
      <c r="O1882" s="61"/>
    </row>
    <row r="1883" spans="1:15" s="642" customFormat="1" x14ac:dyDescent="0.2">
      <c r="A1883" s="108"/>
      <c r="B1883" s="890"/>
      <c r="C1883" s="116"/>
      <c r="D1883" s="126"/>
      <c r="E1883" s="248"/>
      <c r="F1883" s="37"/>
      <c r="G1883" s="30"/>
      <c r="H1883" s="29"/>
      <c r="I1883" s="60"/>
      <c r="J1883" s="62"/>
      <c r="K1883" s="200"/>
      <c r="L1883" s="27"/>
      <c r="M1883" s="1223"/>
      <c r="N1883" s="61"/>
      <c r="O1883" s="61"/>
    </row>
    <row r="1884" spans="1:15" s="642" customFormat="1" x14ac:dyDescent="0.2">
      <c r="A1884" s="94"/>
      <c r="B1884" s="111"/>
      <c r="C1884" s="111">
        <v>620</v>
      </c>
      <c r="D1884" s="129"/>
      <c r="E1884" s="128"/>
      <c r="F1884" s="1"/>
      <c r="G1884" s="40"/>
      <c r="H1884" s="168" t="s">
        <v>142</v>
      </c>
      <c r="I1884" s="171"/>
      <c r="J1884" s="171"/>
      <c r="K1884" s="172"/>
      <c r="L1884" s="27"/>
      <c r="M1884" s="1223"/>
      <c r="N1884" s="61"/>
      <c r="O1884" s="61"/>
    </row>
    <row r="1885" spans="1:15" s="642" customFormat="1" x14ac:dyDescent="0.2">
      <c r="A1885" s="94"/>
      <c r="B1885" s="111"/>
      <c r="C1885" s="111"/>
      <c r="D1885" s="129"/>
      <c r="E1885" s="128"/>
      <c r="F1885" s="1"/>
      <c r="G1885" s="40"/>
      <c r="H1885" s="56"/>
      <c r="I1885" s="47"/>
      <c r="J1885" s="47"/>
      <c r="K1885" s="199"/>
      <c r="L1885" s="27"/>
      <c r="M1885" s="1223"/>
      <c r="N1885" s="61"/>
      <c r="O1885" s="61"/>
    </row>
    <row r="1886" spans="1:15" s="893" customFormat="1" x14ac:dyDescent="0.2">
      <c r="A1886" s="108"/>
      <c r="B1886" s="890"/>
      <c r="C1886" s="116"/>
      <c r="D1886" s="126"/>
      <c r="E1886" s="126">
        <v>1301</v>
      </c>
      <c r="F1886" s="37"/>
      <c r="G1886" s="30"/>
      <c r="H1886" s="1004" t="s">
        <v>330</v>
      </c>
      <c r="I1886" s="156"/>
      <c r="J1886" s="189"/>
      <c r="K1886" s="157"/>
      <c r="L1886" s="891"/>
      <c r="M1886" s="1224"/>
      <c r="N1886" s="892"/>
      <c r="O1886" s="892"/>
    </row>
    <row r="1887" spans="1:15" x14ac:dyDescent="0.2">
      <c r="A1887" s="385"/>
      <c r="B1887" s="382"/>
      <c r="C1887" s="383"/>
      <c r="D1887" s="127"/>
      <c r="E1887" s="127"/>
      <c r="F1887" s="54"/>
      <c r="G1887" s="67"/>
      <c r="H1887" s="70"/>
      <c r="I1887" s="66"/>
      <c r="J1887" s="204"/>
      <c r="K1887" s="203"/>
      <c r="L1887" s="361"/>
    </row>
    <row r="1888" spans="1:15" ht="33.75" x14ac:dyDescent="0.2">
      <c r="A1888" s="385"/>
      <c r="B1888" s="382"/>
      <c r="C1888" s="383"/>
      <c r="D1888" s="127"/>
      <c r="E1888" s="127"/>
      <c r="F1888" s="461"/>
      <c r="G1888" s="50"/>
      <c r="H1888" s="1109" t="s">
        <v>1171</v>
      </c>
      <c r="I1888" s="462"/>
      <c r="J1888" s="463"/>
      <c r="K1888" s="464"/>
      <c r="L1888" s="361"/>
    </row>
    <row r="1889" spans="1:15" x14ac:dyDescent="0.2">
      <c r="A1889" s="385"/>
      <c r="B1889" s="382"/>
      <c r="C1889" s="383"/>
      <c r="D1889" s="127"/>
      <c r="E1889" s="127"/>
      <c r="F1889" s="124">
        <v>348</v>
      </c>
      <c r="G1889" s="95" t="s">
        <v>332</v>
      </c>
      <c r="H1889" s="89" t="s">
        <v>20</v>
      </c>
      <c r="I1889" s="133">
        <v>30001000</v>
      </c>
      <c r="J1889" s="207"/>
      <c r="K1889" s="133">
        <f>SUM(I1889+J1889)</f>
        <v>30001000</v>
      </c>
      <c r="L1889" s="361"/>
    </row>
    <row r="1890" spans="1:15" x14ac:dyDescent="0.2">
      <c r="A1890" s="385"/>
      <c r="B1890" s="382"/>
      <c r="C1890" s="383"/>
      <c r="D1890" s="127"/>
      <c r="E1890" s="127"/>
      <c r="F1890" s="1"/>
      <c r="G1890" s="38" t="s">
        <v>39</v>
      </c>
      <c r="H1890" s="90" t="s">
        <v>40</v>
      </c>
      <c r="I1890" s="133">
        <v>30000000</v>
      </c>
      <c r="J1890" s="207"/>
      <c r="K1890" s="133">
        <f>SUM(I1890+J1890)</f>
        <v>30000000</v>
      </c>
      <c r="L1890" s="361"/>
    </row>
    <row r="1891" spans="1:15" s="327" customFormat="1" x14ac:dyDescent="0.2">
      <c r="A1891" s="385"/>
      <c r="B1891" s="382"/>
      <c r="C1891" s="383"/>
      <c r="D1891" s="127"/>
      <c r="E1891" s="127"/>
      <c r="F1891" s="1"/>
      <c r="G1891" s="1" t="s">
        <v>157</v>
      </c>
      <c r="H1891" s="89" t="s">
        <v>354</v>
      </c>
      <c r="I1891" s="133">
        <v>1000</v>
      </c>
      <c r="J1891" s="207"/>
      <c r="K1891" s="133">
        <f>SUM(I1891+J1891)</f>
        <v>1000</v>
      </c>
      <c r="L1891" s="361"/>
      <c r="M1891" s="1225"/>
      <c r="N1891" s="326"/>
      <c r="O1891" s="326"/>
    </row>
    <row r="1892" spans="1:15" s="327" customFormat="1" x14ac:dyDescent="0.2">
      <c r="A1892" s="385"/>
      <c r="B1892" s="382"/>
      <c r="C1892" s="383"/>
      <c r="D1892" s="127"/>
      <c r="E1892" s="127"/>
      <c r="F1892" s="42"/>
      <c r="G1892" s="42"/>
      <c r="H1892" s="465" t="s">
        <v>355</v>
      </c>
      <c r="I1892" s="170">
        <f>SUM(I1889)</f>
        <v>30001000</v>
      </c>
      <c r="J1892" s="466"/>
      <c r="K1892" s="162">
        <f>SUM(I1892:J1892)</f>
        <v>30001000</v>
      </c>
      <c r="L1892" s="361"/>
      <c r="M1892" s="1225"/>
      <c r="N1892" s="326"/>
      <c r="O1892" s="326"/>
    </row>
    <row r="1893" spans="1:15" s="327" customFormat="1" x14ac:dyDescent="0.2">
      <c r="A1893" s="385"/>
      <c r="B1893" s="382"/>
      <c r="C1893" s="383"/>
      <c r="D1893" s="127"/>
      <c r="E1893" s="127"/>
      <c r="F1893" s="37"/>
      <c r="G1893" s="30"/>
      <c r="H1893" s="29"/>
      <c r="I1893" s="60"/>
      <c r="J1893" s="62"/>
      <c r="K1893" s="200"/>
      <c r="L1893" s="361"/>
      <c r="M1893" s="1225"/>
      <c r="N1893" s="326"/>
      <c r="O1893" s="326"/>
    </row>
    <row r="1894" spans="1:15" s="896" customFormat="1" ht="33.75" x14ac:dyDescent="0.2">
      <c r="A1894" s="108"/>
      <c r="B1894" s="890"/>
      <c r="C1894" s="116"/>
      <c r="D1894" s="126"/>
      <c r="E1894" s="126"/>
      <c r="F1894" s="1"/>
      <c r="G1894" s="38"/>
      <c r="H1894" s="166" t="s">
        <v>921</v>
      </c>
      <c r="I1894" s="529"/>
      <c r="J1894" s="156"/>
      <c r="K1894" s="157"/>
      <c r="L1894" s="891"/>
      <c r="M1894" s="1225"/>
      <c r="N1894" s="895"/>
      <c r="O1894" s="895"/>
    </row>
    <row r="1895" spans="1:15" s="896" customFormat="1" x14ac:dyDescent="0.2">
      <c r="A1895" s="108"/>
      <c r="B1895" s="890"/>
      <c r="C1895" s="116"/>
      <c r="D1895" s="126"/>
      <c r="E1895" s="126"/>
      <c r="F1895" s="124">
        <v>349</v>
      </c>
      <c r="G1895" s="95">
        <v>424</v>
      </c>
      <c r="H1895" s="90" t="s">
        <v>10</v>
      </c>
      <c r="I1895" s="241">
        <v>600000</v>
      </c>
      <c r="J1895" s="161"/>
      <c r="K1895" s="187">
        <f>SUM(I1895+J1895)</f>
        <v>600000</v>
      </c>
      <c r="L1895" s="891"/>
      <c r="M1895" s="1225"/>
      <c r="N1895" s="895"/>
      <c r="O1895" s="895"/>
    </row>
    <row r="1896" spans="1:15" s="896" customFormat="1" x14ac:dyDescent="0.2">
      <c r="A1896" s="108"/>
      <c r="B1896" s="890"/>
      <c r="C1896" s="116"/>
      <c r="D1896" s="126"/>
      <c r="E1896" s="126"/>
      <c r="F1896" s="1"/>
      <c r="G1896" s="38" t="s">
        <v>39</v>
      </c>
      <c r="H1896" s="90" t="s">
        <v>40</v>
      </c>
      <c r="I1896" s="241">
        <f>SUM(I1895)</f>
        <v>600000</v>
      </c>
      <c r="J1896" s="161"/>
      <c r="K1896" s="187">
        <f>SUM(I1896+J1896)</f>
        <v>600000</v>
      </c>
      <c r="L1896" s="891"/>
      <c r="M1896" s="1225"/>
      <c r="N1896" s="895"/>
      <c r="O1896" s="895"/>
    </row>
    <row r="1897" spans="1:15" s="896" customFormat="1" x14ac:dyDescent="0.2">
      <c r="A1897" s="108"/>
      <c r="B1897" s="890"/>
      <c r="C1897" s="116"/>
      <c r="D1897" s="126"/>
      <c r="E1897" s="126"/>
      <c r="F1897" s="42"/>
      <c r="G1897" s="42"/>
      <c r="H1897" s="97" t="s">
        <v>343</v>
      </c>
      <c r="I1897" s="179">
        <f>SUM(I1896)</f>
        <v>600000</v>
      </c>
      <c r="J1897" s="162"/>
      <c r="K1897" s="162">
        <f>SUM(K1896)</f>
        <v>600000</v>
      </c>
      <c r="L1897" s="891"/>
      <c r="M1897" s="1225"/>
      <c r="N1897" s="895"/>
      <c r="O1897" s="895"/>
    </row>
    <row r="1898" spans="1:15" s="327" customFormat="1" x14ac:dyDescent="0.2">
      <c r="A1898" s="106"/>
      <c r="B1898" s="113"/>
      <c r="C1898" s="122"/>
      <c r="D1898" s="103"/>
      <c r="E1898" s="250"/>
      <c r="F1898" s="46"/>
      <c r="G1898" s="314"/>
      <c r="H1898" s="314"/>
      <c r="I1898" s="314"/>
      <c r="J1898" s="63"/>
      <c r="K1898" s="203"/>
      <c r="L1898" s="26"/>
      <c r="M1898" s="1225"/>
      <c r="N1898" s="326"/>
      <c r="O1898" s="326"/>
    </row>
    <row r="1899" spans="1:15" s="327" customFormat="1" x14ac:dyDescent="0.2">
      <c r="A1899" s="106"/>
      <c r="B1899" s="113"/>
      <c r="C1899" s="122"/>
      <c r="D1899" s="103"/>
      <c r="E1899" s="213"/>
      <c r="F1899" s="1"/>
      <c r="G1899" s="38"/>
      <c r="H1899" s="1093" t="s">
        <v>992</v>
      </c>
      <c r="I1899" s="529"/>
      <c r="J1899" s="156"/>
      <c r="K1899" s="157"/>
      <c r="L1899" s="26"/>
      <c r="M1899" s="1225"/>
      <c r="N1899" s="326"/>
      <c r="O1899" s="326"/>
    </row>
    <row r="1900" spans="1:15" s="327" customFormat="1" x14ac:dyDescent="0.2">
      <c r="A1900" s="106"/>
      <c r="B1900" s="113"/>
      <c r="C1900" s="122"/>
      <c r="D1900" s="103"/>
      <c r="E1900" s="213"/>
      <c r="F1900" s="95">
        <v>350</v>
      </c>
      <c r="G1900" s="154" t="s">
        <v>51</v>
      </c>
      <c r="H1900" s="90" t="s">
        <v>10</v>
      </c>
      <c r="I1900" s="187">
        <v>1000</v>
      </c>
      <c r="J1900" s="188"/>
      <c r="K1900" s="187">
        <f>SUM(I1900:J1900)</f>
        <v>1000</v>
      </c>
      <c r="L1900" s="26"/>
      <c r="M1900" s="1225"/>
      <c r="N1900" s="326"/>
      <c r="O1900" s="326"/>
    </row>
    <row r="1901" spans="1:15" s="327" customFormat="1" x14ac:dyDescent="0.2">
      <c r="A1901" s="107"/>
      <c r="B1901" s="114"/>
      <c r="C1901" s="123"/>
      <c r="D1901" s="104"/>
      <c r="E1901" s="253"/>
      <c r="F1901" s="95">
        <v>351</v>
      </c>
      <c r="G1901" s="95">
        <v>511</v>
      </c>
      <c r="H1901" s="90" t="s">
        <v>20</v>
      </c>
      <c r="I1901" s="241">
        <v>1000</v>
      </c>
      <c r="J1901" s="161"/>
      <c r="K1901" s="187">
        <f t="shared" ref="K1901:K1902" si="92">SUM(I1901:J1901)</f>
        <v>1000</v>
      </c>
      <c r="L1901" s="26"/>
      <c r="M1901" s="1225"/>
      <c r="N1901" s="326"/>
      <c r="O1901" s="326"/>
    </row>
    <row r="1902" spans="1:15" x14ac:dyDescent="0.2">
      <c r="A1902" s="106"/>
      <c r="B1902" s="113"/>
      <c r="C1902" s="122"/>
      <c r="D1902" s="103"/>
      <c r="E1902" s="250"/>
      <c r="F1902" s="95">
        <v>352</v>
      </c>
      <c r="G1902" s="95">
        <v>541</v>
      </c>
      <c r="H1902" s="90" t="s">
        <v>25</v>
      </c>
      <c r="I1902" s="241">
        <v>1000</v>
      </c>
      <c r="J1902" s="161"/>
      <c r="K1902" s="187">
        <f t="shared" si="92"/>
        <v>1000</v>
      </c>
    </row>
    <row r="1903" spans="1:15" x14ac:dyDescent="0.2">
      <c r="A1903" s="106"/>
      <c r="B1903" s="113"/>
      <c r="C1903" s="122"/>
      <c r="D1903" s="103"/>
      <c r="E1903" s="250"/>
      <c r="F1903" s="1"/>
      <c r="G1903" s="38" t="s">
        <v>39</v>
      </c>
      <c r="H1903" s="90" t="s">
        <v>40</v>
      </c>
      <c r="I1903" s="241">
        <f>SUM(I1900:I1902)</f>
        <v>3000</v>
      </c>
      <c r="J1903" s="161"/>
      <c r="K1903" s="187">
        <f>SUM(I1903+J1903)</f>
        <v>3000</v>
      </c>
    </row>
    <row r="1904" spans="1:15" x14ac:dyDescent="0.2">
      <c r="A1904" s="107"/>
      <c r="B1904" s="114"/>
      <c r="C1904" s="123"/>
      <c r="D1904" s="104"/>
      <c r="E1904" s="253"/>
      <c r="F1904" s="42"/>
      <c r="G1904" s="42"/>
      <c r="H1904" s="97" t="s">
        <v>344</v>
      </c>
      <c r="I1904" s="179">
        <f>SUM(I1903)</f>
        <v>3000</v>
      </c>
      <c r="J1904" s="162"/>
      <c r="K1904" s="162">
        <f>SUM(K1903)</f>
        <v>3000</v>
      </c>
    </row>
    <row r="1905" spans="1:15" x14ac:dyDescent="0.2">
      <c r="A1905" s="106"/>
      <c r="B1905" s="113"/>
      <c r="C1905" s="122"/>
      <c r="D1905" s="103"/>
      <c r="E1905" s="250"/>
      <c r="F1905" s="1"/>
      <c r="G1905" s="1"/>
      <c r="H1905" s="480"/>
      <c r="I1905" s="28"/>
      <c r="J1905" s="47"/>
      <c r="K1905" s="199"/>
      <c r="M1905" s="1226"/>
    </row>
    <row r="1906" spans="1:15" s="642" customFormat="1" ht="22.5" x14ac:dyDescent="0.2">
      <c r="A1906" s="94"/>
      <c r="B1906" s="111"/>
      <c r="C1906" s="119"/>
      <c r="D1906" s="99"/>
      <c r="E1906" s="176"/>
      <c r="F1906" s="1"/>
      <c r="G1906" s="1"/>
      <c r="H1906" s="1093" t="s">
        <v>922</v>
      </c>
      <c r="I1906" s="529"/>
      <c r="J1906" s="156"/>
      <c r="K1906" s="157"/>
      <c r="L1906" s="27"/>
      <c r="M1906" s="1226"/>
      <c r="N1906" s="61"/>
      <c r="O1906" s="61"/>
    </row>
    <row r="1907" spans="1:15" s="642" customFormat="1" x14ac:dyDescent="0.2">
      <c r="A1907" s="583"/>
      <c r="B1907" s="781"/>
      <c r="C1907" s="121"/>
      <c r="D1907" s="101"/>
      <c r="E1907" s="177"/>
      <c r="F1907" s="124">
        <v>353</v>
      </c>
      <c r="G1907" s="154" t="s">
        <v>332</v>
      </c>
      <c r="H1907" s="90" t="s">
        <v>20</v>
      </c>
      <c r="I1907" s="241">
        <v>600000</v>
      </c>
      <c r="J1907" s="161"/>
      <c r="K1907" s="187">
        <f>SUM(I1907+J1907)</f>
        <v>600000</v>
      </c>
      <c r="L1907" s="27"/>
      <c r="M1907" s="1223"/>
      <c r="N1907" s="61"/>
      <c r="O1907" s="61"/>
    </row>
    <row r="1908" spans="1:15" s="642" customFormat="1" x14ac:dyDescent="0.2">
      <c r="A1908" s="94"/>
      <c r="B1908" s="111"/>
      <c r="C1908" s="119"/>
      <c r="D1908" s="99"/>
      <c r="E1908" s="176"/>
      <c r="F1908" s="1"/>
      <c r="G1908" s="38" t="s">
        <v>39</v>
      </c>
      <c r="H1908" s="90" t="s">
        <v>40</v>
      </c>
      <c r="I1908" s="241">
        <f>SUM(I1907)</f>
        <v>600000</v>
      </c>
      <c r="J1908" s="161"/>
      <c r="K1908" s="187">
        <f>SUM(I1908:J1908)</f>
        <v>600000</v>
      </c>
      <c r="L1908" s="27"/>
      <c r="M1908" s="1223"/>
      <c r="N1908" s="61"/>
      <c r="O1908" s="61"/>
    </row>
    <row r="1909" spans="1:15" s="642" customFormat="1" x14ac:dyDescent="0.2">
      <c r="A1909" s="583"/>
      <c r="B1909" s="781"/>
      <c r="C1909" s="121"/>
      <c r="D1909" s="101"/>
      <c r="E1909" s="177"/>
      <c r="F1909" s="42"/>
      <c r="G1909" s="43"/>
      <c r="H1909" s="97" t="s">
        <v>345</v>
      </c>
      <c r="I1909" s="179">
        <f>SUM(I1908:I1908)</f>
        <v>600000</v>
      </c>
      <c r="J1909" s="162"/>
      <c r="K1909" s="162">
        <f>SUM(K1908:K1908)</f>
        <v>600000</v>
      </c>
      <c r="L1909" s="27"/>
      <c r="M1909" s="1223"/>
      <c r="N1909" s="61"/>
      <c r="O1909" s="61"/>
    </row>
    <row r="1910" spans="1:15" s="642" customFormat="1" x14ac:dyDescent="0.2">
      <c r="A1910" s="94"/>
      <c r="B1910" s="111"/>
      <c r="C1910" s="119"/>
      <c r="D1910" s="99"/>
      <c r="E1910" s="176"/>
      <c r="F1910" s="1"/>
      <c r="G1910" s="1"/>
      <c r="H1910" s="480"/>
      <c r="I1910" s="62"/>
      <c r="J1910" s="47"/>
      <c r="K1910" s="199"/>
      <c r="L1910" s="27"/>
      <c r="M1910" s="1223"/>
      <c r="N1910" s="61"/>
      <c r="O1910" s="61"/>
    </row>
    <row r="1911" spans="1:15" s="642" customFormat="1" ht="22.5" x14ac:dyDescent="0.2">
      <c r="A1911" s="94"/>
      <c r="B1911" s="111"/>
      <c r="C1911" s="119"/>
      <c r="D1911" s="99"/>
      <c r="E1911" s="176"/>
      <c r="F1911" s="1"/>
      <c r="G1911" s="1"/>
      <c r="H1911" s="1095" t="s">
        <v>950</v>
      </c>
      <c r="I1911" s="519"/>
      <c r="J1911" s="158"/>
      <c r="K1911" s="159"/>
      <c r="L1911" s="27"/>
      <c r="M1911" s="1223"/>
      <c r="N1911" s="61"/>
      <c r="O1911" s="61"/>
    </row>
    <row r="1912" spans="1:15" s="642" customFormat="1" x14ac:dyDescent="0.2">
      <c r="A1912" s="94"/>
      <c r="B1912" s="111"/>
      <c r="C1912" s="119"/>
      <c r="D1912" s="99"/>
      <c r="E1912" s="176"/>
      <c r="F1912" s="95">
        <v>354</v>
      </c>
      <c r="G1912" s="284">
        <v>424</v>
      </c>
      <c r="H1912" s="285" t="s">
        <v>10</v>
      </c>
      <c r="I1912" s="187">
        <v>1</v>
      </c>
      <c r="J1912" s="188"/>
      <c r="K1912" s="187">
        <f>SUM(I1912:J1912)</f>
        <v>1</v>
      </c>
      <c r="L1912" s="27"/>
      <c r="M1912" s="1223"/>
      <c r="N1912" s="61"/>
      <c r="O1912" s="61"/>
    </row>
    <row r="1913" spans="1:15" s="642" customFormat="1" x14ac:dyDescent="0.2">
      <c r="A1913" s="583"/>
      <c r="B1913" s="781"/>
      <c r="C1913" s="121"/>
      <c r="D1913" s="101"/>
      <c r="E1913" s="177"/>
      <c r="F1913" s="124">
        <v>355</v>
      </c>
      <c r="G1913" s="154" t="s">
        <v>332</v>
      </c>
      <c r="H1913" s="90" t="s">
        <v>20</v>
      </c>
      <c r="I1913" s="241">
        <v>5264000</v>
      </c>
      <c r="J1913" s="161"/>
      <c r="K1913" s="187">
        <f>SUM(I1913:J1913)</f>
        <v>5264000</v>
      </c>
      <c r="L1913" s="27"/>
      <c r="M1913" s="1223"/>
      <c r="N1913" s="61"/>
      <c r="O1913" s="61"/>
    </row>
    <row r="1914" spans="1:15" s="642" customFormat="1" x14ac:dyDescent="0.2">
      <c r="A1914" s="94"/>
      <c r="B1914" s="111"/>
      <c r="C1914" s="119"/>
      <c r="D1914" s="99"/>
      <c r="E1914" s="176"/>
      <c r="F1914" s="1"/>
      <c r="G1914" s="38" t="s">
        <v>39</v>
      </c>
      <c r="H1914" s="90" t="s">
        <v>40</v>
      </c>
      <c r="I1914" s="241">
        <f>SUM(I1912:I1913)</f>
        <v>5264001</v>
      </c>
      <c r="J1914" s="161"/>
      <c r="K1914" s="187">
        <f>SUM(K1912:K1913)</f>
        <v>5264001</v>
      </c>
      <c r="L1914" s="27"/>
      <c r="M1914" s="1223"/>
      <c r="N1914" s="61"/>
      <c r="O1914" s="61"/>
    </row>
    <row r="1915" spans="1:15" s="642" customFormat="1" x14ac:dyDescent="0.2">
      <c r="A1915" s="583"/>
      <c r="B1915" s="781"/>
      <c r="C1915" s="121"/>
      <c r="D1915" s="101"/>
      <c r="E1915" s="177"/>
      <c r="F1915" s="42"/>
      <c r="G1915" s="43"/>
      <c r="H1915" s="97" t="s">
        <v>346</v>
      </c>
      <c r="I1915" s="179">
        <f>SUM(I1914:I1914)</f>
        <v>5264001</v>
      </c>
      <c r="J1915" s="162"/>
      <c r="K1915" s="162">
        <f>SUM(K1914:K1914)</f>
        <v>5264001</v>
      </c>
      <c r="L1915" s="27"/>
      <c r="M1915" s="1223"/>
      <c r="N1915" s="61"/>
      <c r="O1915" s="61"/>
    </row>
    <row r="1916" spans="1:15" s="642" customFormat="1" x14ac:dyDescent="0.2">
      <c r="A1916" s="94"/>
      <c r="B1916" s="111"/>
      <c r="C1916" s="119"/>
      <c r="D1916" s="99"/>
      <c r="E1916" s="176"/>
      <c r="F1916" s="1"/>
      <c r="G1916" s="38"/>
      <c r="H1916" s="44"/>
      <c r="I1916" s="481"/>
      <c r="J1916" s="47"/>
      <c r="K1916" s="200"/>
      <c r="L1916" s="27"/>
      <c r="M1916" s="1223"/>
      <c r="N1916" s="61"/>
      <c r="O1916" s="61"/>
    </row>
    <row r="1917" spans="1:15" s="642" customFormat="1" ht="22.5" x14ac:dyDescent="0.2">
      <c r="A1917" s="94"/>
      <c r="B1917" s="111"/>
      <c r="C1917" s="119"/>
      <c r="D1917" s="99"/>
      <c r="E1917" s="176"/>
      <c r="F1917" s="1"/>
      <c r="G1917" s="1"/>
      <c r="H1917" s="1093" t="s">
        <v>923</v>
      </c>
      <c r="I1917" s="189"/>
      <c r="J1917" s="156"/>
      <c r="K1917" s="157"/>
      <c r="L1917" s="27"/>
      <c r="M1917" s="1223"/>
      <c r="N1917" s="61"/>
      <c r="O1917" s="61"/>
    </row>
    <row r="1918" spans="1:15" s="642" customFormat="1" x14ac:dyDescent="0.2">
      <c r="A1918" s="583"/>
      <c r="B1918" s="781"/>
      <c r="C1918" s="121"/>
      <c r="D1918" s="101"/>
      <c r="E1918" s="177"/>
      <c r="F1918" s="124">
        <v>356</v>
      </c>
      <c r="G1918" s="154" t="s">
        <v>332</v>
      </c>
      <c r="H1918" s="90" t="s">
        <v>20</v>
      </c>
      <c r="I1918" s="241">
        <v>1500000</v>
      </c>
      <c r="J1918" s="161"/>
      <c r="K1918" s="187">
        <f>SUM(I1918+J1918)</f>
        <v>1500000</v>
      </c>
      <c r="L1918" s="27"/>
      <c r="M1918" s="1223"/>
      <c r="N1918" s="61"/>
      <c r="O1918" s="61"/>
    </row>
    <row r="1919" spans="1:15" s="642" customFormat="1" x14ac:dyDescent="0.2">
      <c r="A1919" s="94"/>
      <c r="B1919" s="111"/>
      <c r="C1919" s="119"/>
      <c r="D1919" s="99"/>
      <c r="E1919" s="176"/>
      <c r="F1919" s="1"/>
      <c r="G1919" s="38" t="s">
        <v>39</v>
      </c>
      <c r="H1919" s="90" t="s">
        <v>40</v>
      </c>
      <c r="I1919" s="241">
        <f>SUM(I1918)</f>
        <v>1500000</v>
      </c>
      <c r="J1919" s="161"/>
      <c r="K1919" s="187">
        <f>SUM(I1919:J1919)</f>
        <v>1500000</v>
      </c>
      <c r="L1919" s="27"/>
      <c r="M1919" s="1223"/>
      <c r="N1919" s="61"/>
      <c r="O1919" s="61"/>
    </row>
    <row r="1920" spans="1:15" s="642" customFormat="1" x14ac:dyDescent="0.2">
      <c r="A1920" s="583"/>
      <c r="B1920" s="781"/>
      <c r="C1920" s="121"/>
      <c r="D1920" s="101"/>
      <c r="E1920" s="177"/>
      <c r="F1920" s="42"/>
      <c r="G1920" s="43"/>
      <c r="H1920" s="97" t="s">
        <v>347</v>
      </c>
      <c r="I1920" s="179">
        <f>SUM(I1919:I1919)</f>
        <v>1500000</v>
      </c>
      <c r="J1920" s="162"/>
      <c r="K1920" s="162">
        <f>SUM(K1919:K1919)</f>
        <v>1500000</v>
      </c>
      <c r="L1920" s="27"/>
      <c r="M1920" s="1223"/>
      <c r="N1920" s="61"/>
      <c r="O1920" s="61"/>
    </row>
    <row r="1921" spans="1:11" x14ac:dyDescent="0.2">
      <c r="A1921" s="258"/>
      <c r="B1921" s="389"/>
      <c r="C1921" s="215"/>
      <c r="D1921" s="275"/>
      <c r="E1921" s="257"/>
      <c r="F1921" s="291"/>
      <c r="G1921" s="292"/>
      <c r="H1921" s="396"/>
      <c r="I1921" s="238"/>
      <c r="J1921" s="236"/>
      <c r="K1921" s="310"/>
    </row>
    <row r="1922" spans="1:11" ht="22.5" x14ac:dyDescent="0.2">
      <c r="A1922" s="110"/>
      <c r="B1922" s="118"/>
      <c r="C1922" s="209"/>
      <c r="D1922" s="369"/>
      <c r="E1922" s="254"/>
      <c r="F1922" s="41"/>
      <c r="G1922" s="41"/>
      <c r="H1922" s="1093" t="s">
        <v>1125</v>
      </c>
      <c r="I1922" s="189"/>
      <c r="J1922" s="156"/>
      <c r="K1922" s="157"/>
    </row>
    <row r="1923" spans="1:11" x14ac:dyDescent="0.2">
      <c r="A1923" s="106"/>
      <c r="B1923" s="113"/>
      <c r="C1923" s="122"/>
      <c r="D1923" s="103"/>
      <c r="E1923" s="250"/>
      <c r="F1923" s="95" t="s">
        <v>1095</v>
      </c>
      <c r="G1923" s="95">
        <v>424</v>
      </c>
      <c r="H1923" s="285" t="s">
        <v>10</v>
      </c>
      <c r="I1923" s="187">
        <v>1000</v>
      </c>
      <c r="J1923" s="188"/>
      <c r="K1923" s="187">
        <f>SUM(I1923:J1923)</f>
        <v>1000</v>
      </c>
    </row>
    <row r="1924" spans="1:11" x14ac:dyDescent="0.2">
      <c r="A1924" s="106"/>
      <c r="B1924" s="113"/>
      <c r="C1924" s="122"/>
      <c r="D1924" s="103"/>
      <c r="E1924" s="250"/>
      <c r="F1924" s="124">
        <v>357</v>
      </c>
      <c r="G1924" s="95">
        <v>511</v>
      </c>
      <c r="H1924" s="90" t="s">
        <v>20</v>
      </c>
      <c r="I1924" s="187">
        <v>1000</v>
      </c>
      <c r="J1924" s="188"/>
      <c r="K1924" s="187">
        <f>SUM(I1924:J1924)</f>
        <v>1000</v>
      </c>
    </row>
    <row r="1925" spans="1:11" x14ac:dyDescent="0.2">
      <c r="A1925" s="107"/>
      <c r="B1925" s="114"/>
      <c r="C1925" s="123"/>
      <c r="D1925" s="104"/>
      <c r="E1925" s="253"/>
      <c r="F1925" s="124">
        <v>358</v>
      </c>
      <c r="G1925" s="154" t="s">
        <v>699</v>
      </c>
      <c r="H1925" s="90" t="s">
        <v>21</v>
      </c>
      <c r="I1925" s="241">
        <v>1000</v>
      </c>
      <c r="J1925" s="161"/>
      <c r="K1925" s="187">
        <f>SUM(I1925+J1925)</f>
        <v>1000</v>
      </c>
    </row>
    <row r="1926" spans="1:11" x14ac:dyDescent="0.2">
      <c r="A1926" s="106"/>
      <c r="B1926" s="113"/>
      <c r="C1926" s="122"/>
      <c r="D1926" s="103"/>
      <c r="E1926" s="250"/>
      <c r="F1926" s="1"/>
      <c r="G1926" s="38" t="s">
        <v>39</v>
      </c>
      <c r="H1926" s="90" t="s">
        <v>40</v>
      </c>
      <c r="I1926" s="241">
        <f>SUM(I1923:I1925)</f>
        <v>3000</v>
      </c>
      <c r="J1926" s="161"/>
      <c r="K1926" s="187">
        <f>SUM(I1926:J1926)</f>
        <v>3000</v>
      </c>
    </row>
    <row r="1927" spans="1:11" x14ac:dyDescent="0.2">
      <c r="A1927" s="107"/>
      <c r="B1927" s="114"/>
      <c r="C1927" s="123"/>
      <c r="D1927" s="104"/>
      <c r="E1927" s="253"/>
      <c r="F1927" s="42"/>
      <c r="G1927" s="43"/>
      <c r="H1927" s="97" t="s">
        <v>348</v>
      </c>
      <c r="I1927" s="179">
        <f>SUM(I1926:I1926)</f>
        <v>3000</v>
      </c>
      <c r="J1927" s="162"/>
      <c r="K1927" s="162">
        <f>SUM(K1926:K1926)</f>
        <v>3000</v>
      </c>
    </row>
    <row r="1928" spans="1:11" x14ac:dyDescent="0.2">
      <c r="A1928" s="106"/>
      <c r="B1928" s="113"/>
      <c r="C1928" s="122"/>
      <c r="D1928" s="103"/>
      <c r="E1928" s="250"/>
      <c r="F1928" s="1"/>
      <c r="G1928" s="30"/>
      <c r="H1928" s="29"/>
      <c r="I1928" s="481"/>
      <c r="J1928" s="60"/>
      <c r="K1928" s="200"/>
    </row>
    <row r="1929" spans="1:11" ht="22.5" x14ac:dyDescent="0.2">
      <c r="A1929" s="106"/>
      <c r="B1929" s="113"/>
      <c r="C1929" s="122"/>
      <c r="D1929" s="103"/>
      <c r="E1929" s="250"/>
      <c r="F1929" s="41"/>
      <c r="G1929" s="41"/>
      <c r="H1929" s="1093" t="s">
        <v>1127</v>
      </c>
      <c r="I1929" s="189"/>
      <c r="J1929" s="156"/>
      <c r="K1929" s="157"/>
    </row>
    <row r="1930" spans="1:11" x14ac:dyDescent="0.2">
      <c r="A1930" s="106"/>
      <c r="B1930" s="113"/>
      <c r="C1930" s="122"/>
      <c r="D1930" s="103"/>
      <c r="E1930" s="250"/>
      <c r="F1930" s="95" t="s">
        <v>1128</v>
      </c>
      <c r="G1930" s="95">
        <v>424</v>
      </c>
      <c r="H1930" s="285" t="s">
        <v>10</v>
      </c>
      <c r="I1930" s="187">
        <v>1</v>
      </c>
      <c r="J1930" s="188"/>
      <c r="K1930" s="187">
        <f>SUM(I1930:J1930)</f>
        <v>1</v>
      </c>
    </row>
    <row r="1931" spans="1:11" x14ac:dyDescent="0.2">
      <c r="A1931" s="106"/>
      <c r="B1931" s="113"/>
      <c r="C1931" s="122"/>
      <c r="D1931" s="103"/>
      <c r="E1931" s="250"/>
      <c r="F1931" s="124" t="s">
        <v>1129</v>
      </c>
      <c r="G1931" s="95">
        <v>511</v>
      </c>
      <c r="H1931" s="90" t="s">
        <v>20</v>
      </c>
      <c r="I1931" s="187">
        <v>12840000</v>
      </c>
      <c r="J1931" s="188"/>
      <c r="K1931" s="187">
        <f>SUM(I1931:J1931)</f>
        <v>12840000</v>
      </c>
    </row>
    <row r="1932" spans="1:11" x14ac:dyDescent="0.2">
      <c r="A1932" s="106"/>
      <c r="B1932" s="113"/>
      <c r="C1932" s="122"/>
      <c r="D1932" s="103"/>
      <c r="E1932" s="250"/>
      <c r="F1932" s="124" t="s">
        <v>1130</v>
      </c>
      <c r="G1932" s="154" t="s">
        <v>699</v>
      </c>
      <c r="H1932" s="90" t="s">
        <v>21</v>
      </c>
      <c r="I1932" s="241">
        <v>1000</v>
      </c>
      <c r="J1932" s="161"/>
      <c r="K1932" s="187">
        <f>SUM(I1932+J1932)</f>
        <v>1000</v>
      </c>
    </row>
    <row r="1933" spans="1:11" x14ac:dyDescent="0.2">
      <c r="A1933" s="106"/>
      <c r="B1933" s="113"/>
      <c r="C1933" s="122"/>
      <c r="D1933" s="103"/>
      <c r="E1933" s="250"/>
      <c r="F1933" s="1"/>
      <c r="G1933" s="38" t="s">
        <v>39</v>
      </c>
      <c r="H1933" s="90" t="s">
        <v>40</v>
      </c>
      <c r="I1933" s="241">
        <f>SUM(I1935-I1934)</f>
        <v>841001</v>
      </c>
      <c r="J1933" s="161"/>
      <c r="K1933" s="187">
        <f>SUM(I1933:J1933)</f>
        <v>841001</v>
      </c>
    </row>
    <row r="1934" spans="1:11" x14ac:dyDescent="0.2">
      <c r="A1934" s="106"/>
      <c r="B1934" s="113"/>
      <c r="C1934" s="122"/>
      <c r="D1934" s="103"/>
      <c r="E1934" s="250"/>
      <c r="F1934" s="1"/>
      <c r="G1934" s="38" t="s">
        <v>157</v>
      </c>
      <c r="H1934" s="90" t="s">
        <v>354</v>
      </c>
      <c r="I1934" s="241">
        <v>12000000</v>
      </c>
      <c r="J1934" s="161"/>
      <c r="K1934" s="187">
        <f>SUM(I1934:J1934)</f>
        <v>12000000</v>
      </c>
    </row>
    <row r="1935" spans="1:11" x14ac:dyDescent="0.2">
      <c r="A1935" s="106"/>
      <c r="B1935" s="113"/>
      <c r="C1935" s="122"/>
      <c r="D1935" s="103"/>
      <c r="E1935" s="250"/>
      <c r="F1935" s="42"/>
      <c r="G1935" s="43"/>
      <c r="H1935" s="97" t="s">
        <v>1126</v>
      </c>
      <c r="I1935" s="179">
        <f>SUM(I1930:I1932)</f>
        <v>12841001</v>
      </c>
      <c r="J1935" s="162"/>
      <c r="K1935" s="162">
        <f>SUM(I1935:J1935)</f>
        <v>12841001</v>
      </c>
    </row>
    <row r="1936" spans="1:11" x14ac:dyDescent="0.2">
      <c r="A1936" s="106"/>
      <c r="B1936" s="113"/>
      <c r="C1936" s="122"/>
      <c r="D1936" s="103"/>
      <c r="E1936" s="250"/>
      <c r="F1936" s="46"/>
      <c r="G1936" s="64"/>
      <c r="H1936" s="55"/>
      <c r="I1936" s="69"/>
      <c r="J1936" s="63"/>
      <c r="K1936" s="203"/>
    </row>
    <row r="1937" spans="1:15" s="642" customFormat="1" x14ac:dyDescent="0.2">
      <c r="A1937" s="94"/>
      <c r="B1937" s="111"/>
      <c r="C1937" s="119"/>
      <c r="D1937" s="99"/>
      <c r="E1937" s="176"/>
      <c r="F1937" s="1"/>
      <c r="G1937" s="38"/>
      <c r="H1937" s="166" t="s">
        <v>924</v>
      </c>
      <c r="I1937" s="289"/>
      <c r="J1937" s="156"/>
      <c r="K1937" s="157"/>
      <c r="L1937" s="27"/>
      <c r="M1937" s="1223"/>
      <c r="N1937" s="61"/>
      <c r="O1937" s="61"/>
    </row>
    <row r="1938" spans="1:15" s="642" customFormat="1" x14ac:dyDescent="0.2">
      <c r="A1938" s="583"/>
      <c r="B1938" s="781"/>
      <c r="C1938" s="121"/>
      <c r="D1938" s="101"/>
      <c r="E1938" s="177"/>
      <c r="F1938" s="124">
        <v>359</v>
      </c>
      <c r="G1938" s="521" t="s">
        <v>332</v>
      </c>
      <c r="H1938" s="90" t="s">
        <v>20</v>
      </c>
      <c r="I1938" s="241">
        <v>86449329.590000004</v>
      </c>
      <c r="J1938" s="160"/>
      <c r="K1938" s="187">
        <f>SUM(I1938:J1938)</f>
        <v>86449329.590000004</v>
      </c>
      <c r="L1938" s="26"/>
      <c r="M1938" s="1223"/>
      <c r="N1938" s="61"/>
      <c r="O1938" s="61"/>
    </row>
    <row r="1939" spans="1:15" s="642" customFormat="1" x14ac:dyDescent="0.2">
      <c r="A1939" s="94"/>
      <c r="B1939" s="111"/>
      <c r="C1939" s="119"/>
      <c r="D1939" s="99"/>
      <c r="E1939" s="176"/>
      <c r="F1939" s="1"/>
      <c r="G1939" s="38" t="s">
        <v>39</v>
      </c>
      <c r="H1939" s="90" t="s">
        <v>40</v>
      </c>
      <c r="I1939" s="241">
        <f>SUM(I1938-I1940)</f>
        <v>10000000</v>
      </c>
      <c r="J1939" s="160"/>
      <c r="K1939" s="187">
        <f>SUM(I1939:J1939)</f>
        <v>10000000</v>
      </c>
      <c r="L1939" s="27"/>
      <c r="M1939" s="1223"/>
      <c r="N1939" s="61"/>
      <c r="O1939" s="61"/>
    </row>
    <row r="1940" spans="1:15" s="642" customFormat="1" x14ac:dyDescent="0.2">
      <c r="A1940" s="94"/>
      <c r="B1940" s="111"/>
      <c r="C1940" s="119"/>
      <c r="D1940" s="99"/>
      <c r="E1940" s="176"/>
      <c r="F1940" s="1"/>
      <c r="G1940" s="38" t="s">
        <v>157</v>
      </c>
      <c r="H1940" s="90" t="s">
        <v>354</v>
      </c>
      <c r="I1940" s="241">
        <v>76449329.590000004</v>
      </c>
      <c r="J1940" s="160"/>
      <c r="K1940" s="187">
        <f>SUM(I1940:J1940)</f>
        <v>76449329.590000004</v>
      </c>
      <c r="L1940" s="27"/>
      <c r="M1940" s="1223"/>
      <c r="N1940" s="61"/>
      <c r="O1940" s="61"/>
    </row>
    <row r="1941" spans="1:15" s="642" customFormat="1" x14ac:dyDescent="0.2">
      <c r="A1941" s="583"/>
      <c r="B1941" s="781"/>
      <c r="C1941" s="121"/>
      <c r="D1941" s="101"/>
      <c r="E1941" s="177"/>
      <c r="F1941" s="42"/>
      <c r="G1941" s="43"/>
      <c r="H1941" s="97" t="s">
        <v>352</v>
      </c>
      <c r="I1941" s="179">
        <f>SUM(I1938)</f>
        <v>86449329.590000004</v>
      </c>
      <c r="J1941" s="162"/>
      <c r="K1941" s="162">
        <f>SUM(K1939:K1940)</f>
        <v>86449329.590000004</v>
      </c>
      <c r="L1941" s="27"/>
      <c r="M1941" s="1223"/>
      <c r="N1941" s="61"/>
      <c r="O1941" s="61"/>
    </row>
    <row r="1942" spans="1:15" x14ac:dyDescent="0.2">
      <c r="A1942" s="106"/>
      <c r="B1942" s="113"/>
      <c r="C1942" s="122"/>
      <c r="D1942" s="103"/>
      <c r="E1942" s="250"/>
      <c r="F1942" s="46"/>
      <c r="G1942" s="64"/>
      <c r="H1942" s="70"/>
      <c r="I1942" s="69"/>
      <c r="J1942" s="66"/>
      <c r="K1942" s="203"/>
      <c r="M1942" s="1226"/>
    </row>
    <row r="1943" spans="1:15" ht="22.5" x14ac:dyDescent="0.2">
      <c r="A1943" s="106"/>
      <c r="B1943" s="113"/>
      <c r="C1943" s="122"/>
      <c r="D1943" s="103"/>
      <c r="E1943" s="250"/>
      <c r="F1943" s="1"/>
      <c r="G1943" s="38"/>
      <c r="H1943" s="1093" t="s">
        <v>862</v>
      </c>
      <c r="I1943" s="289"/>
      <c r="J1943" s="156"/>
      <c r="K1943" s="157"/>
    </row>
    <row r="1944" spans="1:15" x14ac:dyDescent="0.2">
      <c r="A1944" s="106"/>
      <c r="B1944" s="113"/>
      <c r="C1944" s="122"/>
      <c r="D1944" s="103"/>
      <c r="E1944" s="250"/>
      <c r="F1944" s="95">
        <v>360</v>
      </c>
      <c r="G1944" s="154" t="s">
        <v>51</v>
      </c>
      <c r="H1944" s="285" t="s">
        <v>10</v>
      </c>
      <c r="I1944" s="241">
        <v>1000</v>
      </c>
      <c r="J1944" s="187"/>
      <c r="K1944" s="187">
        <f>SUM(I1944:J1944)</f>
        <v>1000</v>
      </c>
    </row>
    <row r="1945" spans="1:15" x14ac:dyDescent="0.2">
      <c r="A1945" s="106"/>
      <c r="B1945" s="113"/>
      <c r="C1945" s="122"/>
      <c r="D1945" s="103"/>
      <c r="E1945" s="250"/>
      <c r="F1945" s="124">
        <v>361</v>
      </c>
      <c r="G1945" s="521" t="s">
        <v>332</v>
      </c>
      <c r="H1945" s="90" t="s">
        <v>20</v>
      </c>
      <c r="I1945" s="241">
        <v>1000</v>
      </c>
      <c r="J1945" s="160"/>
      <c r="K1945" s="187">
        <f>SUM(I1945:J1945)</f>
        <v>1000</v>
      </c>
    </row>
    <row r="1946" spans="1:15" x14ac:dyDescent="0.2">
      <c r="A1946" s="106"/>
      <c r="B1946" s="113"/>
      <c r="C1946" s="122"/>
      <c r="D1946" s="103"/>
      <c r="E1946" s="250"/>
      <c r="F1946" s="1"/>
      <c r="G1946" s="38" t="s">
        <v>39</v>
      </c>
      <c r="H1946" s="90" t="s">
        <v>40</v>
      </c>
      <c r="I1946" s="241">
        <f>SUM(I1948-I1947)</f>
        <v>1000</v>
      </c>
      <c r="J1946" s="160"/>
      <c r="K1946" s="187">
        <f>SUM(I1946:J1946)</f>
        <v>1000</v>
      </c>
    </row>
    <row r="1947" spans="1:15" x14ac:dyDescent="0.2">
      <c r="A1947" s="106"/>
      <c r="B1947" s="113"/>
      <c r="C1947" s="122"/>
      <c r="D1947" s="103"/>
      <c r="E1947" s="250"/>
      <c r="F1947" s="1"/>
      <c r="G1947" s="38" t="s">
        <v>157</v>
      </c>
      <c r="H1947" s="90" t="s">
        <v>354</v>
      </c>
      <c r="I1947" s="241">
        <v>1000</v>
      </c>
      <c r="J1947" s="160"/>
      <c r="K1947" s="187">
        <f>SUM(I1947:J1947)</f>
        <v>1000</v>
      </c>
    </row>
    <row r="1948" spans="1:15" x14ac:dyDescent="0.2">
      <c r="A1948" s="106"/>
      <c r="B1948" s="113"/>
      <c r="C1948" s="122"/>
      <c r="D1948" s="103"/>
      <c r="E1948" s="250"/>
      <c r="F1948" s="42"/>
      <c r="G1948" s="43"/>
      <c r="H1948" s="97" t="s">
        <v>349</v>
      </c>
      <c r="I1948" s="179">
        <f>SUM(I1944:I1945)</f>
        <v>2000</v>
      </c>
      <c r="J1948" s="162"/>
      <c r="K1948" s="162">
        <f>SUM(K1946:K1947)</f>
        <v>2000</v>
      </c>
    </row>
    <row r="1949" spans="1:15" x14ac:dyDescent="0.2">
      <c r="A1949" s="106"/>
      <c r="B1949" s="113"/>
      <c r="C1949" s="122"/>
      <c r="D1949" s="103"/>
      <c r="E1949" s="250"/>
      <c r="F1949" s="1"/>
      <c r="G1949" s="38"/>
      <c r="H1949" s="44"/>
      <c r="I1949" s="481"/>
      <c r="J1949" s="47"/>
      <c r="K1949" s="200"/>
    </row>
    <row r="1950" spans="1:15" s="642" customFormat="1" ht="22.5" x14ac:dyDescent="0.2">
      <c r="A1950" s="94"/>
      <c r="B1950" s="111"/>
      <c r="C1950" s="119"/>
      <c r="D1950" s="99"/>
      <c r="E1950" s="176"/>
      <c r="F1950" s="1"/>
      <c r="G1950" s="38"/>
      <c r="H1950" s="1093" t="s">
        <v>733</v>
      </c>
      <c r="I1950" s="289"/>
      <c r="J1950" s="156"/>
      <c r="K1950" s="157"/>
      <c r="L1950" s="27"/>
      <c r="M1950" s="1223"/>
      <c r="N1950" s="61"/>
      <c r="O1950" s="61"/>
    </row>
    <row r="1951" spans="1:15" s="642" customFormat="1" x14ac:dyDescent="0.2">
      <c r="A1951" s="583"/>
      <c r="B1951" s="781"/>
      <c r="C1951" s="121"/>
      <c r="D1951" s="101"/>
      <c r="E1951" s="177"/>
      <c r="F1951" s="124">
        <v>362</v>
      </c>
      <c r="G1951" s="154" t="s">
        <v>51</v>
      </c>
      <c r="H1951" s="90" t="s">
        <v>10</v>
      </c>
      <c r="I1951" s="241">
        <v>2000000</v>
      </c>
      <c r="J1951" s="160"/>
      <c r="K1951" s="187">
        <f>SUM(I1951:J1951)</f>
        <v>2000000</v>
      </c>
      <c r="L1951" s="27"/>
      <c r="M1951" s="1223"/>
      <c r="N1951" s="61"/>
      <c r="O1951" s="61"/>
    </row>
    <row r="1952" spans="1:15" s="642" customFormat="1" x14ac:dyDescent="0.2">
      <c r="A1952" s="94"/>
      <c r="B1952" s="111"/>
      <c r="C1952" s="119"/>
      <c r="D1952" s="99"/>
      <c r="E1952" s="176"/>
      <c r="F1952" s="1"/>
      <c r="G1952" s="38" t="s">
        <v>39</v>
      </c>
      <c r="H1952" s="90" t="s">
        <v>40</v>
      </c>
      <c r="I1952" s="241">
        <f>SUM(I1951)</f>
        <v>2000000</v>
      </c>
      <c r="J1952" s="160"/>
      <c r="K1952" s="187">
        <f>SUM(I1952:J1952)</f>
        <v>2000000</v>
      </c>
      <c r="L1952" s="27"/>
      <c r="M1952" s="1223"/>
      <c r="N1952" s="61"/>
      <c r="O1952" s="61"/>
    </row>
    <row r="1953" spans="1:15" s="642" customFormat="1" x14ac:dyDescent="0.2">
      <c r="A1953" s="583"/>
      <c r="B1953" s="781"/>
      <c r="C1953" s="121"/>
      <c r="D1953" s="101"/>
      <c r="E1953" s="177"/>
      <c r="F1953" s="42"/>
      <c r="G1953" s="43"/>
      <c r="H1953" s="97" t="s">
        <v>353</v>
      </c>
      <c r="I1953" s="179">
        <f>SUM(I1952)</f>
        <v>2000000</v>
      </c>
      <c r="J1953" s="162"/>
      <c r="K1953" s="162">
        <f>SUM(I1953:J1953)</f>
        <v>2000000</v>
      </c>
      <c r="L1953" s="27"/>
      <c r="M1953" s="1223"/>
      <c r="N1953" s="61"/>
      <c r="O1953" s="61"/>
    </row>
    <row r="1954" spans="1:15" s="642" customFormat="1" x14ac:dyDescent="0.2">
      <c r="A1954" s="94"/>
      <c r="B1954" s="111"/>
      <c r="C1954" s="119"/>
      <c r="D1954" s="99"/>
      <c r="E1954" s="176"/>
      <c r="F1954" s="1"/>
      <c r="G1954" s="38"/>
      <c r="H1954" s="29"/>
      <c r="I1954" s="481"/>
      <c r="J1954" s="60"/>
      <c r="K1954" s="200"/>
      <c r="L1954" s="27"/>
      <c r="M1954" s="1223"/>
      <c r="N1954" s="61"/>
      <c r="O1954" s="61"/>
    </row>
    <row r="1955" spans="1:15" s="642" customFormat="1" ht="22.5" x14ac:dyDescent="0.2">
      <c r="A1955" s="94"/>
      <c r="B1955" s="111"/>
      <c r="C1955" s="119"/>
      <c r="D1955" s="99"/>
      <c r="E1955" s="176"/>
      <c r="F1955" s="1"/>
      <c r="G1955" s="38"/>
      <c r="H1955" s="1093" t="s">
        <v>805</v>
      </c>
      <c r="I1955" s="289"/>
      <c r="J1955" s="156"/>
      <c r="K1955" s="157"/>
      <c r="L1955" s="27"/>
      <c r="M1955" s="1223"/>
      <c r="N1955" s="61"/>
      <c r="O1955" s="61"/>
    </row>
    <row r="1956" spans="1:15" s="642" customFormat="1" x14ac:dyDescent="0.2">
      <c r="A1956" s="94"/>
      <c r="B1956" s="111"/>
      <c r="C1956" s="119"/>
      <c r="D1956" s="99"/>
      <c r="E1956" s="176"/>
      <c r="F1956" s="124">
        <v>363</v>
      </c>
      <c r="G1956" s="154" t="s">
        <v>332</v>
      </c>
      <c r="H1956" s="90" t="s">
        <v>20</v>
      </c>
      <c r="I1956" s="241">
        <v>2000000</v>
      </c>
      <c r="J1956" s="160"/>
      <c r="K1956" s="187">
        <f>SUM(I1956:J1956)</f>
        <v>2000000</v>
      </c>
      <c r="L1956" s="27"/>
      <c r="M1956" s="1223"/>
      <c r="N1956" s="61"/>
      <c r="O1956" s="61"/>
    </row>
    <row r="1957" spans="1:15" s="642" customFormat="1" x14ac:dyDescent="0.2">
      <c r="A1957" s="94"/>
      <c r="B1957" s="111"/>
      <c r="C1957" s="119"/>
      <c r="D1957" s="99"/>
      <c r="E1957" s="176"/>
      <c r="F1957" s="1"/>
      <c r="G1957" s="38" t="s">
        <v>1141</v>
      </c>
      <c r="H1957" s="90" t="s">
        <v>1142</v>
      </c>
      <c r="I1957" s="241">
        <f>SUM(I1956)</f>
        <v>2000000</v>
      </c>
      <c r="J1957" s="160"/>
      <c r="K1957" s="187">
        <f>SUM(I1957:J1957)</f>
        <v>2000000</v>
      </c>
      <c r="L1957" s="27"/>
      <c r="M1957" s="1223"/>
      <c r="N1957" s="61"/>
      <c r="O1957" s="61"/>
    </row>
    <row r="1958" spans="1:15" s="642" customFormat="1" x14ac:dyDescent="0.2">
      <c r="A1958" s="94"/>
      <c r="B1958" s="111"/>
      <c r="C1958" s="119"/>
      <c r="D1958" s="99"/>
      <c r="E1958" s="176"/>
      <c r="F1958" s="42"/>
      <c r="G1958" s="38"/>
      <c r="H1958" s="97" t="s">
        <v>684</v>
      </c>
      <c r="I1958" s="179">
        <f>SUM(I1957)</f>
        <v>2000000</v>
      </c>
      <c r="J1958" s="162"/>
      <c r="K1958" s="162">
        <f>SUM(I1958:J1958)</f>
        <v>2000000</v>
      </c>
      <c r="L1958" s="27"/>
      <c r="M1958" s="1223"/>
      <c r="N1958" s="61"/>
      <c r="O1958" s="61"/>
    </row>
    <row r="1959" spans="1:15" s="642" customFormat="1" x14ac:dyDescent="0.2">
      <c r="A1959" s="94"/>
      <c r="B1959" s="111"/>
      <c r="C1959" s="119"/>
      <c r="D1959" s="99"/>
      <c r="E1959" s="176"/>
      <c r="F1959" s="1"/>
      <c r="G1959" s="1157"/>
      <c r="H1959" s="1281"/>
      <c r="I1959" s="527"/>
      <c r="J1959" s="1082"/>
      <c r="K1959" s="182"/>
      <c r="L1959" s="27"/>
      <c r="M1959" s="1223"/>
      <c r="N1959" s="61"/>
      <c r="O1959" s="61"/>
    </row>
    <row r="1960" spans="1:15" x14ac:dyDescent="0.2">
      <c r="A1960" s="106"/>
      <c r="B1960" s="113"/>
      <c r="C1960" s="122"/>
      <c r="D1960" s="103"/>
      <c r="E1960" s="250"/>
      <c r="F1960" s="1"/>
      <c r="G1960" s="1"/>
      <c r="H1960" s="1093" t="s">
        <v>900</v>
      </c>
      <c r="I1960" s="289"/>
      <c r="J1960" s="156"/>
      <c r="K1960" s="157"/>
    </row>
    <row r="1961" spans="1:15" x14ac:dyDescent="0.2">
      <c r="A1961" s="103"/>
      <c r="B1961" s="113"/>
      <c r="C1961" s="119"/>
      <c r="D1961" s="99"/>
      <c r="E1961" s="128"/>
      <c r="F1961" s="124" t="s">
        <v>1154</v>
      </c>
      <c r="G1961" s="154" t="s">
        <v>332</v>
      </c>
      <c r="H1961" s="90" t="s">
        <v>20</v>
      </c>
      <c r="I1961" s="241">
        <v>1000000</v>
      </c>
      <c r="J1961" s="160"/>
      <c r="K1961" s="187">
        <f>SUM(I1961:J1961)</f>
        <v>1000000</v>
      </c>
    </row>
    <row r="1962" spans="1:15" x14ac:dyDescent="0.2">
      <c r="A1962" s="381"/>
      <c r="B1962" s="382"/>
      <c r="C1962" s="116"/>
      <c r="D1962" s="102"/>
      <c r="E1962" s="126"/>
      <c r="F1962" s="1"/>
      <c r="G1962" s="38" t="s">
        <v>39</v>
      </c>
      <c r="H1962" s="90" t="s">
        <v>40</v>
      </c>
      <c r="I1962" s="241">
        <f>SUM(I1961:I1961)</f>
        <v>1000000</v>
      </c>
      <c r="J1962" s="161"/>
      <c r="K1962" s="187">
        <f>SUM(I1962:J1962)</f>
        <v>1000000</v>
      </c>
    </row>
    <row r="1963" spans="1:15" s="327" customFormat="1" x14ac:dyDescent="0.2">
      <c r="A1963" s="103"/>
      <c r="B1963" s="113"/>
      <c r="C1963" s="119"/>
      <c r="D1963" s="99"/>
      <c r="E1963" s="176"/>
      <c r="F1963" s="42"/>
      <c r="G1963" s="43"/>
      <c r="H1963" s="97" t="s">
        <v>854</v>
      </c>
      <c r="I1963" s="179">
        <f>SUM(I1962)</f>
        <v>1000000</v>
      </c>
      <c r="J1963" s="162"/>
      <c r="K1963" s="162">
        <f>SUM(I1963:J1963)</f>
        <v>1000000</v>
      </c>
      <c r="L1963" s="26"/>
      <c r="M1963" s="1225"/>
      <c r="N1963" s="326"/>
      <c r="O1963" s="326"/>
    </row>
    <row r="1964" spans="1:15" s="327" customFormat="1" x14ac:dyDescent="0.2">
      <c r="A1964" s="103"/>
      <c r="B1964" s="113"/>
      <c r="C1964" s="119"/>
      <c r="D1964" s="99"/>
      <c r="E1964" s="176"/>
      <c r="F1964" s="46"/>
      <c r="G1964" s="64"/>
      <c r="H1964" s="70"/>
      <c r="I1964" s="69"/>
      <c r="J1964" s="66"/>
      <c r="K1964" s="203"/>
      <c r="L1964" s="26"/>
      <c r="M1964" s="1225"/>
      <c r="N1964" s="326"/>
      <c r="O1964" s="326"/>
    </row>
    <row r="1965" spans="1:15" x14ac:dyDescent="0.2">
      <c r="A1965" s="103"/>
      <c r="B1965" s="113"/>
      <c r="C1965" s="119"/>
      <c r="D1965" s="99"/>
      <c r="E1965" s="176"/>
      <c r="F1965" s="1"/>
      <c r="G1965" s="38"/>
      <c r="H1965" s="271" t="s">
        <v>1115</v>
      </c>
      <c r="I1965" s="272"/>
      <c r="J1965" s="272"/>
      <c r="K1965" s="273"/>
    </row>
    <row r="1966" spans="1:15" x14ac:dyDescent="0.2">
      <c r="A1966" s="369"/>
      <c r="B1966" s="118"/>
      <c r="C1966" s="120"/>
      <c r="D1966" s="100"/>
      <c r="E1966" s="246"/>
      <c r="F1966" s="37"/>
      <c r="G1966" s="28"/>
      <c r="H1966" s="51"/>
      <c r="I1966" s="31"/>
      <c r="J1966" s="31"/>
      <c r="K1966" s="197"/>
    </row>
    <row r="1967" spans="1:15" x14ac:dyDescent="0.2">
      <c r="A1967" s="104"/>
      <c r="B1967" s="114"/>
      <c r="C1967" s="121"/>
      <c r="D1967" s="101"/>
      <c r="E1967" s="177"/>
      <c r="F1967" s="124" t="s">
        <v>1113</v>
      </c>
      <c r="G1967" s="95">
        <v>511</v>
      </c>
      <c r="H1967" s="175" t="s">
        <v>20</v>
      </c>
      <c r="I1967" s="133">
        <v>1000</v>
      </c>
      <c r="J1967" s="133"/>
      <c r="K1967" s="133">
        <f>SUM(I1967:J1967)</f>
        <v>1000</v>
      </c>
    </row>
    <row r="1968" spans="1:15" x14ac:dyDescent="0.2">
      <c r="A1968" s="106"/>
      <c r="B1968" s="113"/>
      <c r="C1968" s="122"/>
      <c r="D1968" s="103"/>
      <c r="E1968" s="250"/>
      <c r="F1968" s="95" t="s">
        <v>1114</v>
      </c>
      <c r="G1968" s="95">
        <v>512</v>
      </c>
      <c r="H1968" s="17" t="s">
        <v>21</v>
      </c>
      <c r="I1968" s="133">
        <v>1700000</v>
      </c>
      <c r="J1968" s="133"/>
      <c r="K1968" s="133">
        <f>SUM(I1968:J1968)</f>
        <v>1700000</v>
      </c>
    </row>
    <row r="1969" spans="1:15" s="642" customFormat="1" x14ac:dyDescent="0.2">
      <c r="A1969" s="917"/>
      <c r="B1969" s="789"/>
      <c r="C1969" s="790"/>
      <c r="D1969" s="148"/>
      <c r="E1969" s="767"/>
      <c r="F1969" s="1"/>
      <c r="G1969" s="459"/>
      <c r="H1969" s="97" t="s">
        <v>1116</v>
      </c>
      <c r="I1969" s="170">
        <f>SUM(I1967:I1968)</f>
        <v>1701000</v>
      </c>
      <c r="J1969" s="170"/>
      <c r="K1969" s="170">
        <f>SUM(I1969:J1969)</f>
        <v>1701000</v>
      </c>
      <c r="L1969" s="887"/>
      <c r="M1969" s="1223"/>
      <c r="N1969" s="61"/>
      <c r="O1969" s="61"/>
    </row>
    <row r="1970" spans="1:15" s="642" customFormat="1" x14ac:dyDescent="0.2">
      <c r="A1970" s="94"/>
      <c r="B1970" s="111"/>
      <c r="C1970" s="119"/>
      <c r="D1970" s="99"/>
      <c r="E1970" s="176"/>
      <c r="F1970" s="41"/>
      <c r="G1970" s="38" t="s">
        <v>39</v>
      </c>
      <c r="H1970" s="90" t="s">
        <v>40</v>
      </c>
      <c r="I1970" s="133">
        <f>SUM(I1969)</f>
        <v>1701000</v>
      </c>
      <c r="J1970" s="133"/>
      <c r="K1970" s="133">
        <f>SUM(I1970+J1970)</f>
        <v>1701000</v>
      </c>
      <c r="L1970" s="27"/>
      <c r="M1970" s="1223"/>
      <c r="N1970" s="61"/>
      <c r="O1970" s="61"/>
    </row>
    <row r="1971" spans="1:15" s="642" customFormat="1" x14ac:dyDescent="0.2">
      <c r="A1971" s="94"/>
      <c r="B1971" s="111"/>
      <c r="C1971" s="119"/>
      <c r="D1971" s="99"/>
      <c r="E1971" s="176"/>
      <c r="F1971" s="42"/>
      <c r="G1971" s="43"/>
      <c r="H1971" s="97" t="s">
        <v>361</v>
      </c>
      <c r="I1971" s="170">
        <f t="shared" ref="I1971" si="93">SUM(I1970)</f>
        <v>1701000</v>
      </c>
      <c r="J1971" s="170"/>
      <c r="K1971" s="170">
        <f t="shared" ref="K1971" si="94">SUM(K1970)</f>
        <v>1701000</v>
      </c>
      <c r="L1971" s="27"/>
      <c r="M1971" s="1223"/>
      <c r="N1971" s="61"/>
      <c r="O1971" s="61"/>
    </row>
    <row r="1972" spans="1:15" s="642" customFormat="1" x14ac:dyDescent="0.2">
      <c r="A1972" s="583"/>
      <c r="B1972" s="781"/>
      <c r="C1972" s="121"/>
      <c r="D1972" s="101"/>
      <c r="E1972" s="177"/>
      <c r="F1972" s="46"/>
      <c r="G1972" s="64"/>
      <c r="H1972" s="55"/>
      <c r="I1972" s="69"/>
      <c r="J1972" s="63"/>
      <c r="K1972" s="203"/>
      <c r="L1972" s="27"/>
      <c r="M1972" s="1223"/>
      <c r="N1972" s="61"/>
      <c r="O1972" s="61"/>
    </row>
    <row r="1973" spans="1:15" s="893" customFormat="1" x14ac:dyDescent="0.2">
      <c r="A1973" s="94"/>
      <c r="B1973" s="111"/>
      <c r="C1973" s="119"/>
      <c r="D1973" s="98">
        <v>1501</v>
      </c>
      <c r="E1973" s="176"/>
      <c r="F1973" s="134"/>
      <c r="G1973" s="135"/>
      <c r="H1973" s="220" t="s">
        <v>734</v>
      </c>
      <c r="I1973" s="221">
        <f>SUM(I1978)</f>
        <v>600000</v>
      </c>
      <c r="J1973" s="908"/>
      <c r="K1973" s="222">
        <f>SUM(I1973:J1973)</f>
        <v>600000</v>
      </c>
      <c r="L1973" s="27"/>
      <c r="M1973" s="1224"/>
      <c r="N1973" s="892"/>
      <c r="O1973" s="892"/>
    </row>
    <row r="1974" spans="1:15" s="642" customFormat="1" x14ac:dyDescent="0.2">
      <c r="A1974" s="583"/>
      <c r="B1974" s="781"/>
      <c r="C1974" s="121"/>
      <c r="D1974" s="101"/>
      <c r="E1974" s="177"/>
      <c r="F1974" s="1"/>
      <c r="G1974" s="38"/>
      <c r="H1974" s="44"/>
      <c r="I1974" s="481"/>
      <c r="J1974" s="47"/>
      <c r="K1974" s="200"/>
      <c r="L1974" s="27"/>
      <c r="M1974" s="1223"/>
      <c r="N1974" s="61"/>
      <c r="O1974" s="61"/>
    </row>
    <row r="1975" spans="1:15" ht="22.5" x14ac:dyDescent="0.2">
      <c r="A1975" s="106"/>
      <c r="B1975" s="113"/>
      <c r="C1975" s="122"/>
      <c r="D1975" s="103"/>
      <c r="E1975" s="395"/>
      <c r="F1975" s="201"/>
      <c r="G1975" s="38"/>
      <c r="H1975" s="1111" t="s">
        <v>925</v>
      </c>
      <c r="I1975" s="1110"/>
      <c r="J1975" s="617"/>
      <c r="K1975" s="618"/>
    </row>
    <row r="1976" spans="1:15" s="642" customFormat="1" x14ac:dyDescent="0.2">
      <c r="A1976" s="788"/>
      <c r="B1976" s="789"/>
      <c r="C1976" s="789"/>
      <c r="D1976" s="148"/>
      <c r="E1976" s="767"/>
      <c r="F1976" s="124">
        <v>364</v>
      </c>
      <c r="G1976" s="154" t="s">
        <v>51</v>
      </c>
      <c r="H1976" s="90" t="s">
        <v>10</v>
      </c>
      <c r="I1976" s="241">
        <v>600000</v>
      </c>
      <c r="J1976" s="160"/>
      <c r="K1976" s="187">
        <f>SUM(I1976:J1976)</f>
        <v>600000</v>
      </c>
      <c r="L1976" s="887"/>
      <c r="M1976" s="1223"/>
      <c r="N1976" s="61"/>
      <c r="O1976" s="61"/>
    </row>
    <row r="1977" spans="1:15" s="642" customFormat="1" x14ac:dyDescent="0.2">
      <c r="A1977" s="788"/>
      <c r="B1977" s="789"/>
      <c r="C1977" s="789"/>
      <c r="D1977" s="148"/>
      <c r="E1977" s="767"/>
      <c r="F1977" s="1"/>
      <c r="G1977" s="38" t="s">
        <v>39</v>
      </c>
      <c r="H1977" s="90" t="s">
        <v>40</v>
      </c>
      <c r="I1977" s="241">
        <f>SUM(I1976)</f>
        <v>600000</v>
      </c>
      <c r="J1977" s="160"/>
      <c r="K1977" s="187">
        <f>SUM(I1977:J1977)</f>
        <v>600000</v>
      </c>
      <c r="L1977" s="887"/>
      <c r="M1977" s="1223"/>
      <c r="N1977" s="61"/>
      <c r="O1977" s="61"/>
    </row>
    <row r="1978" spans="1:15" s="642" customFormat="1" x14ac:dyDescent="0.2">
      <c r="A1978" s="101"/>
      <c r="B1978" s="781"/>
      <c r="C1978" s="121"/>
      <c r="D1978" s="101"/>
      <c r="E1978" s="177"/>
      <c r="F1978" s="42"/>
      <c r="G1978" s="43"/>
      <c r="H1978" s="97" t="s">
        <v>350</v>
      </c>
      <c r="I1978" s="179">
        <f>SUM(I1977)</f>
        <v>600000</v>
      </c>
      <c r="J1978" s="162"/>
      <c r="K1978" s="162">
        <f>SUM(I1978:J1978)</f>
        <v>600000</v>
      </c>
      <c r="L1978" s="27"/>
      <c r="M1978" s="1223"/>
      <c r="N1978" s="61"/>
      <c r="O1978" s="61"/>
    </row>
    <row r="1979" spans="1:15" s="642" customFormat="1" x14ac:dyDescent="0.2">
      <c r="A1979" s="119"/>
      <c r="B1979" s="98"/>
      <c r="C1979" s="99"/>
      <c r="D1979" s="98"/>
      <c r="E1979" s="128"/>
      <c r="F1979" s="296"/>
      <c r="G1979" s="297"/>
      <c r="H1979" s="404"/>
      <c r="I1979" s="231"/>
      <c r="J1979" s="59"/>
      <c r="K1979" s="384"/>
      <c r="L1979" s="27"/>
      <c r="M1979" s="1223"/>
      <c r="N1979" s="61"/>
      <c r="O1979" s="61"/>
    </row>
    <row r="1980" spans="1:15" s="893" customFormat="1" x14ac:dyDescent="0.2">
      <c r="A1980" s="101"/>
      <c r="B1980" s="780"/>
      <c r="C1980" s="1307"/>
      <c r="D1980" s="1308">
        <v>1101</v>
      </c>
      <c r="E1980" s="1309"/>
      <c r="F1980" s="134"/>
      <c r="G1980" s="135"/>
      <c r="H1980" s="220" t="s">
        <v>562</v>
      </c>
      <c r="I1980" s="221">
        <f>SUM(I1994+I2000)</f>
        <v>27000000</v>
      </c>
      <c r="J1980" s="908"/>
      <c r="K1980" s="222">
        <f t="shared" ref="K1980" si="95">SUM(K1994)</f>
        <v>22500000</v>
      </c>
      <c r="L1980" s="27"/>
      <c r="M1980" s="1224"/>
      <c r="N1980" s="892"/>
      <c r="O1980" s="892"/>
    </row>
    <row r="1981" spans="1:15" s="893" customFormat="1" x14ac:dyDescent="0.2">
      <c r="A1981" s="99"/>
      <c r="B1981" s="111"/>
      <c r="C1981" s="111">
        <v>620</v>
      </c>
      <c r="D1981" s="129"/>
      <c r="E1981" s="128"/>
      <c r="F1981" s="134"/>
      <c r="G1981" s="135"/>
      <c r="H1981" s="144"/>
      <c r="I1981" s="149"/>
      <c r="J1981" s="145"/>
      <c r="K1981" s="198"/>
      <c r="L1981" s="27"/>
      <c r="M1981" s="1224"/>
      <c r="N1981" s="892"/>
      <c r="O1981" s="892"/>
    </row>
    <row r="1982" spans="1:15" x14ac:dyDescent="0.2">
      <c r="A1982" s="106"/>
      <c r="B1982" s="375"/>
      <c r="C1982" s="122"/>
      <c r="D1982" s="94"/>
      <c r="E1982" s="176"/>
      <c r="F1982" s="1"/>
      <c r="G1982" s="38"/>
      <c r="H1982" s="136" t="s">
        <v>334</v>
      </c>
      <c r="I1982" s="180"/>
      <c r="J1982" s="180"/>
      <c r="K1982" s="140"/>
    </row>
    <row r="1983" spans="1:15" x14ac:dyDescent="0.2">
      <c r="A1983" s="103"/>
      <c r="B1983" s="113"/>
      <c r="C1983" s="122"/>
      <c r="D1983" s="99"/>
      <c r="E1983" s="128" t="s">
        <v>309</v>
      </c>
      <c r="F1983" s="1"/>
      <c r="G1983" s="40"/>
      <c r="H1983" s="137" t="s">
        <v>558</v>
      </c>
      <c r="I1983" s="141"/>
      <c r="J1983" s="141"/>
      <c r="K1983" s="181"/>
    </row>
    <row r="1984" spans="1:15" x14ac:dyDescent="0.2">
      <c r="A1984" s="110"/>
      <c r="B1984" s="118"/>
      <c r="C1984" s="209"/>
      <c r="D1984" s="100"/>
      <c r="E1984" s="246"/>
      <c r="F1984" s="37"/>
      <c r="G1984" s="28"/>
      <c r="H1984" s="29"/>
      <c r="I1984" s="62"/>
      <c r="J1984" s="62"/>
      <c r="K1984" s="200"/>
    </row>
    <row r="1985" spans="1:12" x14ac:dyDescent="0.2">
      <c r="A1985" s="104"/>
      <c r="B1985" s="114"/>
      <c r="C1985" s="123"/>
      <c r="D1985" s="101"/>
      <c r="E1985" s="177"/>
      <c r="F1985" s="1"/>
      <c r="G1985" s="40"/>
      <c r="H1985" s="168" t="s">
        <v>142</v>
      </c>
      <c r="I1985" s="287"/>
      <c r="J1985" s="287"/>
      <c r="K1985" s="182"/>
    </row>
    <row r="1986" spans="1:12" x14ac:dyDescent="0.2">
      <c r="A1986" s="103"/>
      <c r="B1986" s="113"/>
      <c r="C1986" s="122"/>
      <c r="D1986" s="99"/>
      <c r="E1986" s="176"/>
      <c r="F1986" s="1"/>
      <c r="G1986" s="40"/>
      <c r="H1986" s="50"/>
      <c r="I1986" s="40"/>
      <c r="J1986" s="40"/>
      <c r="K1986" s="112"/>
    </row>
    <row r="1987" spans="1:12" x14ac:dyDescent="0.2">
      <c r="A1987" s="103"/>
      <c r="B1987" s="113"/>
      <c r="C1987" s="122"/>
      <c r="D1987" s="99"/>
      <c r="E1987" s="176"/>
      <c r="F1987" s="124">
        <v>365</v>
      </c>
      <c r="G1987" s="95">
        <v>424</v>
      </c>
      <c r="H1987" s="90" t="s">
        <v>143</v>
      </c>
      <c r="I1987" s="160">
        <v>22500000</v>
      </c>
      <c r="J1987" s="160"/>
      <c r="K1987" s="160">
        <f>SUM(I1987+J1987)</f>
        <v>22500000</v>
      </c>
    </row>
    <row r="1988" spans="1:12" x14ac:dyDescent="0.2">
      <c r="A1988" s="103"/>
      <c r="B1988" s="113"/>
      <c r="C1988" s="122"/>
      <c r="D1988" s="99"/>
      <c r="E1988" s="176"/>
      <c r="F1988" s="41"/>
      <c r="G1988" s="38" t="s">
        <v>39</v>
      </c>
      <c r="H1988" s="90" t="s">
        <v>40</v>
      </c>
      <c r="I1988" s="187">
        <f>SUM(I1987)</f>
        <v>22500000</v>
      </c>
      <c r="J1988" s="188"/>
      <c r="K1988" s="188">
        <f>SUM(I1988+J1988)</f>
        <v>22500000</v>
      </c>
    </row>
    <row r="1989" spans="1:12" x14ac:dyDescent="0.2">
      <c r="A1989" s="103"/>
      <c r="B1989" s="113"/>
      <c r="C1989" s="122"/>
      <c r="D1989" s="99"/>
      <c r="E1989" s="176"/>
      <c r="F1989" s="42"/>
      <c r="G1989" s="43"/>
      <c r="H1989" s="97" t="s">
        <v>798</v>
      </c>
      <c r="I1989" s="162">
        <f>SUM(I1988)</f>
        <v>22500000</v>
      </c>
      <c r="J1989" s="162"/>
      <c r="K1989" s="162">
        <f t="shared" ref="K1989" si="96">SUM(K1988)</f>
        <v>22500000</v>
      </c>
    </row>
    <row r="1990" spans="1:12" x14ac:dyDescent="0.2">
      <c r="A1990" s="104"/>
      <c r="B1990" s="114"/>
      <c r="C1990" s="123"/>
      <c r="D1990" s="101"/>
      <c r="E1990" s="177"/>
      <c r="F1990" s="1"/>
      <c r="G1990" s="1"/>
      <c r="H1990" s="138" t="s">
        <v>141</v>
      </c>
      <c r="I1990" s="163"/>
      <c r="J1990" s="163"/>
      <c r="K1990" s="164"/>
    </row>
    <row r="1991" spans="1:12" x14ac:dyDescent="0.2">
      <c r="A1991" s="103"/>
      <c r="B1991" s="113"/>
      <c r="C1991" s="122"/>
      <c r="D1991" s="99"/>
      <c r="E1991" s="176"/>
      <c r="F1991" s="1"/>
      <c r="G1991" s="38" t="s">
        <v>39</v>
      </c>
      <c r="H1991" s="90" t="s">
        <v>40</v>
      </c>
      <c r="I1991" s="160">
        <f>SUM(I1994-I1992-I1993)</f>
        <v>20500000</v>
      </c>
      <c r="J1991" s="160"/>
      <c r="K1991" s="160">
        <f>SUM(I1991+J1991)</f>
        <v>20500000</v>
      </c>
      <c r="L1991" s="298"/>
    </row>
    <row r="1992" spans="1:12" x14ac:dyDescent="0.2">
      <c r="A1992" s="103"/>
      <c r="B1992" s="113"/>
      <c r="C1992" s="122"/>
      <c r="D1992" s="99"/>
      <c r="E1992" s="176"/>
      <c r="F1992" s="1"/>
      <c r="G1992" s="38" t="s">
        <v>157</v>
      </c>
      <c r="H1992" s="90" t="s">
        <v>354</v>
      </c>
      <c r="I1992" s="160">
        <v>1500000</v>
      </c>
      <c r="J1992" s="160"/>
      <c r="K1992" s="160">
        <f>SUM(I1992:J1992)</f>
        <v>1500000</v>
      </c>
    </row>
    <row r="1993" spans="1:12" x14ac:dyDescent="0.2">
      <c r="A1993" s="103"/>
      <c r="B1993" s="113"/>
      <c r="C1993" s="111">
        <v>620</v>
      </c>
      <c r="D1993" s="99"/>
      <c r="E1993" s="176"/>
      <c r="F1993" s="1"/>
      <c r="G1993" s="38" t="s">
        <v>1141</v>
      </c>
      <c r="H1993" s="90" t="s">
        <v>1142</v>
      </c>
      <c r="I1993" s="160">
        <v>500000</v>
      </c>
      <c r="J1993" s="160"/>
      <c r="K1993" s="160">
        <f>SUM(I1993:J1993)</f>
        <v>500000</v>
      </c>
    </row>
    <row r="1994" spans="1:12" x14ac:dyDescent="0.2">
      <c r="A1994" s="103"/>
      <c r="B1994" s="113"/>
      <c r="C1994" s="122"/>
      <c r="D1994" s="99"/>
      <c r="E1994" s="176"/>
      <c r="F1994" s="42"/>
      <c r="G1994" s="43"/>
      <c r="H1994" s="97" t="s">
        <v>144</v>
      </c>
      <c r="I1994" s="162">
        <f>SUM(I1989)</f>
        <v>22500000</v>
      </c>
      <c r="J1994" s="162"/>
      <c r="K1994" s="162">
        <f>SUM(I1994:J1994)</f>
        <v>22500000</v>
      </c>
    </row>
    <row r="1995" spans="1:12" x14ac:dyDescent="0.2">
      <c r="A1995" s="103"/>
      <c r="B1995" s="113"/>
      <c r="C1995" s="122"/>
      <c r="D1995" s="99"/>
      <c r="E1995" s="246"/>
      <c r="F1995" s="1"/>
      <c r="G1995" s="30"/>
      <c r="H1995" s="508"/>
      <c r="I1995" s="509"/>
      <c r="J1995" s="509"/>
      <c r="K1995" s="509"/>
    </row>
    <row r="1996" spans="1:12" ht="22.5" x14ac:dyDescent="0.2">
      <c r="A1996" s="103"/>
      <c r="B1996" s="113"/>
      <c r="C1996" s="122"/>
      <c r="D1996" s="99"/>
      <c r="E1996" s="177"/>
      <c r="F1996" s="1"/>
      <c r="G1996" s="40"/>
      <c r="H1996" s="1111" t="s">
        <v>1111</v>
      </c>
      <c r="I1996" s="513"/>
      <c r="J1996" s="513"/>
      <c r="K1996" s="514"/>
    </row>
    <row r="1997" spans="1:12" x14ac:dyDescent="0.2">
      <c r="A1997" s="103"/>
      <c r="B1997" s="113"/>
      <c r="C1997" s="122"/>
      <c r="D1997" s="99"/>
      <c r="E1997" s="176"/>
      <c r="F1997" s="124" t="s">
        <v>1109</v>
      </c>
      <c r="G1997" s="95">
        <v>424</v>
      </c>
      <c r="H1997" s="90" t="s">
        <v>520</v>
      </c>
      <c r="I1997" s="160">
        <v>3800000</v>
      </c>
      <c r="J1997" s="160"/>
      <c r="K1997" s="160">
        <f>SUM(I1997+J1997)</f>
        <v>3800000</v>
      </c>
    </row>
    <row r="1998" spans="1:12" x14ac:dyDescent="0.2">
      <c r="A1998" s="103"/>
      <c r="B1998" s="113"/>
      <c r="C1998" s="122"/>
      <c r="D1998" s="99"/>
      <c r="E1998" s="176"/>
      <c r="F1998" s="95" t="s">
        <v>1110</v>
      </c>
      <c r="G1998" s="95">
        <v>511</v>
      </c>
      <c r="H1998" s="175" t="s">
        <v>20</v>
      </c>
      <c r="I1998" s="160">
        <v>700000</v>
      </c>
      <c r="J1998" s="160"/>
      <c r="K1998" s="160">
        <f>SUM(I1998+J1998)</f>
        <v>700000</v>
      </c>
    </row>
    <row r="1999" spans="1:12" x14ac:dyDescent="0.2">
      <c r="A1999" s="103"/>
      <c r="B1999" s="113"/>
      <c r="C1999" s="122"/>
      <c r="D1999" s="99"/>
      <c r="E1999" s="176"/>
      <c r="F1999" s="1"/>
      <c r="G1999" s="38" t="s">
        <v>39</v>
      </c>
      <c r="H1999" s="90" t="s">
        <v>40</v>
      </c>
      <c r="I1999" s="187">
        <f>SUM(I1997:I1998)</f>
        <v>4500000</v>
      </c>
      <c r="J1999" s="188"/>
      <c r="K1999" s="188">
        <f>SUM(I1999+J1999)</f>
        <v>4500000</v>
      </c>
    </row>
    <row r="2000" spans="1:12" x14ac:dyDescent="0.2">
      <c r="A2000" s="103"/>
      <c r="B2000" s="113"/>
      <c r="C2000" s="122"/>
      <c r="D2000" s="99"/>
      <c r="E2000" s="176"/>
      <c r="F2000" s="42"/>
      <c r="G2000" s="43"/>
      <c r="H2000" s="97" t="s">
        <v>1133</v>
      </c>
      <c r="I2000" s="162">
        <f>SUM(I1999)</f>
        <v>4500000</v>
      </c>
      <c r="J2000" s="162"/>
      <c r="K2000" s="162">
        <f t="shared" ref="K2000" si="97">SUM(K1999)</f>
        <v>4500000</v>
      </c>
    </row>
    <row r="2001" spans="1:15" x14ac:dyDescent="0.2">
      <c r="A2001" s="103"/>
      <c r="B2001" s="113"/>
      <c r="C2001" s="122"/>
      <c r="D2001" s="184"/>
      <c r="E2001" s="176"/>
      <c r="F2001" s="1"/>
      <c r="G2001" s="1"/>
      <c r="H2001" s="138" t="s">
        <v>141</v>
      </c>
      <c r="I2001" s="163"/>
      <c r="J2001" s="163"/>
      <c r="K2001" s="164"/>
    </row>
    <row r="2002" spans="1:15" x14ac:dyDescent="0.2">
      <c r="A2002" s="103"/>
      <c r="B2002" s="113"/>
      <c r="C2002" s="122"/>
      <c r="D2002" s="99"/>
      <c r="E2002" s="176"/>
      <c r="F2002" s="1"/>
      <c r="G2002" s="38" t="s">
        <v>39</v>
      </c>
      <c r="H2002" s="90" t="s">
        <v>40</v>
      </c>
      <c r="I2002" s="160">
        <f>SUM(I2005-I2003)</f>
        <v>25500000</v>
      </c>
      <c r="J2002" s="160"/>
      <c r="K2002" s="160">
        <f>SUM(I2002+J2002)</f>
        <v>25500000</v>
      </c>
    </row>
    <row r="2003" spans="1:15" x14ac:dyDescent="0.2">
      <c r="A2003" s="369"/>
      <c r="B2003" s="118"/>
      <c r="C2003" s="209"/>
      <c r="D2003" s="369"/>
      <c r="E2003" s="254"/>
      <c r="F2003" s="1"/>
      <c r="G2003" s="38" t="s">
        <v>157</v>
      </c>
      <c r="H2003" s="90" t="s">
        <v>354</v>
      </c>
      <c r="I2003" s="160">
        <v>1500000</v>
      </c>
      <c r="J2003" s="160"/>
      <c r="K2003" s="160">
        <f>SUM(I2003+J2003)</f>
        <v>1500000</v>
      </c>
    </row>
    <row r="2004" spans="1:15" s="642" customFormat="1" x14ac:dyDescent="0.2">
      <c r="A2004" s="788"/>
      <c r="B2004" s="790"/>
      <c r="C2004" s="790"/>
      <c r="D2004" s="148"/>
      <c r="E2004" s="767"/>
      <c r="F2004" s="1"/>
      <c r="G2004" s="38" t="s">
        <v>1141</v>
      </c>
      <c r="H2004" s="90" t="s">
        <v>1142</v>
      </c>
      <c r="I2004" s="160">
        <v>500000</v>
      </c>
      <c r="J2004" s="160"/>
      <c r="K2004" s="160">
        <f>SUM(I2004+J2004)</f>
        <v>500000</v>
      </c>
      <c r="L2004" s="887"/>
      <c r="M2004" s="1223"/>
      <c r="N2004" s="61"/>
      <c r="O2004" s="61"/>
    </row>
    <row r="2005" spans="1:15" s="642" customFormat="1" x14ac:dyDescent="0.2">
      <c r="A2005" s="788"/>
      <c r="B2005" s="790"/>
      <c r="C2005" s="790"/>
      <c r="D2005" s="148"/>
      <c r="E2005" s="767"/>
      <c r="F2005" s="42"/>
      <c r="G2005" s="43"/>
      <c r="H2005" s="97" t="s">
        <v>144</v>
      </c>
      <c r="I2005" s="162">
        <f>SUM(I1994+I2000)</f>
        <v>27000000</v>
      </c>
      <c r="J2005" s="162"/>
      <c r="K2005" s="162">
        <f>SUM(I2005:J2005)</f>
        <v>27000000</v>
      </c>
      <c r="L2005" s="887"/>
      <c r="M2005" s="1223"/>
      <c r="N2005" s="61"/>
      <c r="O2005" s="61"/>
    </row>
    <row r="2006" spans="1:15" s="642" customFormat="1" ht="15" x14ac:dyDescent="0.2">
      <c r="A2006" s="98"/>
      <c r="B2006" s="111"/>
      <c r="C2006" s="888"/>
      <c r="D2006" s="99"/>
      <c r="E2006" s="176"/>
      <c r="F2006" s="475"/>
      <c r="G2006" s="510"/>
      <c r="H2006" s="511"/>
      <c r="I2006" s="512"/>
      <c r="J2006" s="512"/>
      <c r="K2006" s="512"/>
      <c r="L2006" s="27"/>
      <c r="M2006" s="1223"/>
      <c r="N2006" s="885"/>
      <c r="O2006" s="61"/>
    </row>
    <row r="2007" spans="1:15" s="642" customFormat="1" ht="15" x14ac:dyDescent="0.2">
      <c r="A2007" s="98"/>
      <c r="B2007" s="111"/>
      <c r="C2007" s="111"/>
      <c r="D2007" s="98"/>
      <c r="E2007" s="128"/>
      <c r="F2007" s="46"/>
      <c r="G2007" s="46"/>
      <c r="H2007" s="65"/>
      <c r="I2007" s="223"/>
      <c r="J2007" s="223"/>
      <c r="K2007" s="373"/>
      <c r="L2007" s="27"/>
      <c r="M2007" s="1223"/>
      <c r="N2007" s="885"/>
      <c r="O2007" s="61"/>
    </row>
    <row r="2008" spans="1:15" s="893" customFormat="1" ht="22.5" x14ac:dyDescent="0.2">
      <c r="A2008" s="912"/>
      <c r="B2008" s="789"/>
      <c r="C2008" s="789"/>
      <c r="D2008" s="148" t="s">
        <v>310</v>
      </c>
      <c r="E2008" s="148"/>
      <c r="F2008" s="134"/>
      <c r="G2008" s="135"/>
      <c r="H2008" s="988" t="s">
        <v>557</v>
      </c>
      <c r="I2008" s="221">
        <f>SUM(I2019+I2030)</f>
        <v>155400000</v>
      </c>
      <c r="J2008" s="908"/>
      <c r="K2008" s="222">
        <f>SUM(I2008:J2008)</f>
        <v>155400000</v>
      </c>
      <c r="L2008" s="887"/>
      <c r="M2008" s="1224"/>
      <c r="N2008" s="892"/>
      <c r="O2008" s="892"/>
    </row>
    <row r="2009" spans="1:15" s="893" customFormat="1" x14ac:dyDescent="0.2">
      <c r="A2009" s="99"/>
      <c r="B2009" s="111"/>
      <c r="C2009" s="111">
        <v>620</v>
      </c>
      <c r="D2009" s="98"/>
      <c r="E2009" s="128"/>
      <c r="F2009" s="134"/>
      <c r="G2009" s="135"/>
      <c r="H2009" s="914"/>
      <c r="I2009" s="149"/>
      <c r="J2009" s="145"/>
      <c r="K2009" s="198"/>
      <c r="L2009" s="27"/>
      <c r="M2009" s="1224"/>
      <c r="N2009" s="892"/>
      <c r="O2009" s="892"/>
    </row>
    <row r="2010" spans="1:15" s="642" customFormat="1" x14ac:dyDescent="0.2">
      <c r="A2010" s="99"/>
      <c r="B2010" s="111"/>
      <c r="C2010" s="111"/>
      <c r="D2010" s="98"/>
      <c r="E2010" s="128"/>
      <c r="F2010" s="1"/>
      <c r="G2010" s="38"/>
      <c r="H2010" s="136" t="s">
        <v>294</v>
      </c>
      <c r="I2010" s="180"/>
      <c r="J2010" s="180"/>
      <c r="K2010" s="889"/>
      <c r="L2010" s="27"/>
      <c r="M2010" s="1223"/>
      <c r="N2010" s="61"/>
      <c r="O2010" s="61"/>
    </row>
    <row r="2011" spans="1:15" s="642" customFormat="1" x14ac:dyDescent="0.2">
      <c r="A2011" s="98"/>
      <c r="B2011" s="111"/>
      <c r="C2011" s="111"/>
      <c r="D2011" s="98"/>
      <c r="E2011" s="128" t="s">
        <v>311</v>
      </c>
      <c r="F2011" s="1"/>
      <c r="G2011" s="40"/>
      <c r="H2011" s="137" t="s">
        <v>817</v>
      </c>
      <c r="I2011" s="141"/>
      <c r="J2011" s="141"/>
      <c r="K2011" s="793"/>
      <c r="L2011" s="27"/>
      <c r="M2011" s="1223"/>
      <c r="N2011" s="61"/>
      <c r="O2011" s="61"/>
    </row>
    <row r="2012" spans="1:15" s="893" customFormat="1" x14ac:dyDescent="0.2">
      <c r="A2012" s="101"/>
      <c r="B2012" s="781"/>
      <c r="C2012" s="121"/>
      <c r="D2012" s="101"/>
      <c r="E2012" s="177"/>
      <c r="F2012" s="134"/>
      <c r="G2012" s="165"/>
      <c r="H2012" s="144"/>
      <c r="I2012" s="145"/>
      <c r="J2012" s="145"/>
      <c r="K2012" s="794"/>
      <c r="L2012" s="27"/>
      <c r="M2012" s="1224"/>
      <c r="N2012" s="892"/>
      <c r="O2012" s="892"/>
    </row>
    <row r="2013" spans="1:15" s="642" customFormat="1" x14ac:dyDescent="0.2">
      <c r="A2013" s="99"/>
      <c r="B2013" s="111"/>
      <c r="C2013" s="119"/>
      <c r="D2013" s="99"/>
      <c r="E2013" s="176"/>
      <c r="F2013" s="39"/>
      <c r="G2013" s="39"/>
      <c r="H2013" s="168" t="s">
        <v>142</v>
      </c>
      <c r="I2013" s="163"/>
      <c r="J2013" s="163"/>
      <c r="K2013" s="172"/>
      <c r="L2013" s="27"/>
      <c r="M2013" s="1223"/>
      <c r="N2013" s="61"/>
      <c r="O2013" s="61"/>
    </row>
    <row r="2014" spans="1:15" s="642" customFormat="1" x14ac:dyDescent="0.2">
      <c r="A2014" s="99"/>
      <c r="B2014" s="111"/>
      <c r="C2014" s="119"/>
      <c r="D2014" s="99"/>
      <c r="E2014" s="176"/>
      <c r="F2014" s="39"/>
      <c r="G2014" s="39"/>
      <c r="H2014" s="56"/>
      <c r="I2014" s="48"/>
      <c r="J2014" s="48"/>
      <c r="K2014" s="199"/>
      <c r="L2014" s="27"/>
      <c r="M2014" s="1223"/>
      <c r="N2014" s="61"/>
      <c r="O2014" s="61"/>
    </row>
    <row r="2015" spans="1:15" s="642" customFormat="1" x14ac:dyDescent="0.2">
      <c r="A2015" s="101"/>
      <c r="B2015" s="781"/>
      <c r="C2015" s="121"/>
      <c r="D2015" s="101"/>
      <c r="E2015" s="177"/>
      <c r="F2015" s="100">
        <v>366</v>
      </c>
      <c r="G2015" s="100">
        <v>424</v>
      </c>
      <c r="H2015" s="90" t="s">
        <v>279</v>
      </c>
      <c r="I2015" s="160">
        <v>13000000</v>
      </c>
      <c r="J2015" s="160"/>
      <c r="K2015" s="160">
        <f>SUM(I2015+J2015)</f>
        <v>13000000</v>
      </c>
      <c r="L2015" s="27"/>
      <c r="M2015" s="1223"/>
      <c r="N2015" s="61"/>
      <c r="O2015" s="61"/>
    </row>
    <row r="2016" spans="1:15" x14ac:dyDescent="0.2">
      <c r="A2016" s="385"/>
      <c r="B2016" s="382"/>
      <c r="C2016" s="383"/>
      <c r="D2016" s="381"/>
      <c r="E2016" s="251"/>
      <c r="F2016" s="1112"/>
      <c r="G2016" s="910"/>
      <c r="H2016" s="261" t="s">
        <v>783</v>
      </c>
      <c r="I2016" s="162">
        <f>SUM(I2015)</f>
        <v>13000000</v>
      </c>
      <c r="J2016" s="162"/>
      <c r="K2016" s="162">
        <f t="shared" ref="K2016" si="98">SUM(K2015)</f>
        <v>13000000</v>
      </c>
      <c r="L2016" s="204"/>
    </row>
    <row r="2017" spans="1:15" s="642" customFormat="1" x14ac:dyDescent="0.2">
      <c r="A2017" s="99"/>
      <c r="B2017" s="111"/>
      <c r="C2017" s="119"/>
      <c r="D2017" s="99"/>
      <c r="E2017" s="176"/>
      <c r="F2017" s="1"/>
      <c r="G2017" s="1"/>
      <c r="H2017" s="44" t="s">
        <v>141</v>
      </c>
      <c r="I2017" s="48"/>
      <c r="J2017" s="48"/>
      <c r="K2017" s="205"/>
      <c r="L2017" s="27"/>
      <c r="M2017" s="1223"/>
      <c r="N2017" s="61"/>
      <c r="O2017" s="61"/>
    </row>
    <row r="2018" spans="1:15" s="642" customFormat="1" ht="15" x14ac:dyDescent="0.2">
      <c r="A2018" s="1113" t="s">
        <v>273</v>
      </c>
      <c r="B2018" s="1114"/>
      <c r="C2018" s="1115"/>
      <c r="D2018" s="1116"/>
      <c r="E2018" s="1117"/>
      <c r="F2018" s="1"/>
      <c r="G2018" s="38" t="s">
        <v>39</v>
      </c>
      <c r="H2018" s="90" t="s">
        <v>40</v>
      </c>
      <c r="I2018" s="160">
        <f>SUM(I2016)</f>
        <v>13000000</v>
      </c>
      <c r="J2018" s="160"/>
      <c r="K2018" s="160">
        <f>SUM(I2018+J2018)</f>
        <v>13000000</v>
      </c>
      <c r="L2018" s="27"/>
      <c r="M2018" s="1223"/>
      <c r="N2018" s="61"/>
      <c r="O2018" s="61"/>
    </row>
    <row r="2019" spans="1:15" s="642" customFormat="1" ht="15" x14ac:dyDescent="0.2">
      <c r="A2019" s="1123"/>
      <c r="B2019" s="1124"/>
      <c r="C2019" s="1125"/>
      <c r="D2019" s="1126"/>
      <c r="E2019" s="1127"/>
      <c r="F2019" s="42"/>
      <c r="G2019" s="43"/>
      <c r="H2019" s="97" t="s">
        <v>144</v>
      </c>
      <c r="I2019" s="162">
        <f>SUM(I2018)</f>
        <v>13000000</v>
      </c>
      <c r="J2019" s="162"/>
      <c r="K2019" s="162">
        <f t="shared" ref="K2019" si="99">SUM(K2018)</f>
        <v>13000000</v>
      </c>
      <c r="L2019" s="887"/>
      <c r="M2019" s="1223"/>
      <c r="N2019" s="61"/>
      <c r="O2019" s="61"/>
    </row>
    <row r="2020" spans="1:15" s="951" customFormat="1" ht="15" x14ac:dyDescent="0.2">
      <c r="A2020" s="1113"/>
      <c r="B2020" s="1114"/>
      <c r="C2020" s="1133">
        <v>620</v>
      </c>
      <c r="D2020" s="1134"/>
      <c r="E2020" s="1134"/>
      <c r="F2020" s="54"/>
      <c r="G2020" s="67"/>
      <c r="H2020" s="347"/>
      <c r="I2020" s="229"/>
      <c r="J2020" s="229"/>
      <c r="K2020" s="384"/>
      <c r="L2020" s="891"/>
      <c r="M2020" s="906"/>
      <c r="N2020" s="950"/>
      <c r="O2020" s="950"/>
    </row>
    <row r="2021" spans="1:15" s="642" customFormat="1" ht="15" x14ac:dyDescent="0.2">
      <c r="A2021" s="1113"/>
      <c r="B2021" s="1114"/>
      <c r="C2021" s="1133"/>
      <c r="D2021" s="1134"/>
      <c r="E2021" s="1134"/>
      <c r="F2021" s="1"/>
      <c r="G2021" s="38"/>
      <c r="H2021" s="136" t="s">
        <v>511</v>
      </c>
      <c r="I2021" s="995"/>
      <c r="J2021" s="995"/>
      <c r="K2021" s="830"/>
      <c r="L2021" s="891"/>
      <c r="M2021" s="1223"/>
      <c r="N2021" s="61"/>
      <c r="O2021" s="61"/>
    </row>
    <row r="2022" spans="1:15" s="642" customFormat="1" ht="15" x14ac:dyDescent="0.2">
      <c r="A2022" s="1113"/>
      <c r="B2022" s="1114"/>
      <c r="C2022" s="1115"/>
      <c r="D2022" s="1116"/>
      <c r="E2022" s="1310" t="s">
        <v>615</v>
      </c>
      <c r="F2022" s="1118"/>
      <c r="G2022" s="1119"/>
      <c r="H2022" s="1120" t="s">
        <v>570</v>
      </c>
      <c r="I2022" s="1121"/>
      <c r="J2022" s="1121"/>
      <c r="K2022" s="1122"/>
      <c r="L2022" s="27"/>
      <c r="M2022" s="1223"/>
      <c r="N2022" s="61"/>
      <c r="O2022" s="61"/>
    </row>
    <row r="2023" spans="1:15" s="893" customFormat="1" ht="15" x14ac:dyDescent="0.2">
      <c r="A2023" s="1049"/>
      <c r="B2023" s="1144"/>
      <c r="C2023" s="1145"/>
      <c r="D2023" s="1146"/>
      <c r="E2023" s="1147"/>
      <c r="F2023" s="1128"/>
      <c r="G2023" s="1129"/>
      <c r="H2023" s="1130"/>
      <c r="I2023" s="1131"/>
      <c r="J2023" s="1131"/>
      <c r="K2023" s="1132"/>
      <c r="L2023" s="27"/>
      <c r="M2023" s="1224"/>
      <c r="N2023" s="892"/>
      <c r="O2023" s="892"/>
    </row>
    <row r="2024" spans="1:15" s="896" customFormat="1" x14ac:dyDescent="0.2">
      <c r="A2024" s="99"/>
      <c r="B2024" s="111"/>
      <c r="C2024" s="119"/>
      <c r="D2024" s="99"/>
      <c r="E2024" s="176"/>
      <c r="F2024" s="1118"/>
      <c r="G2024" s="1135"/>
      <c r="H2024" s="1136" t="s">
        <v>142</v>
      </c>
      <c r="I2024" s="1137"/>
      <c r="J2024" s="1137"/>
      <c r="K2024" s="1138"/>
      <c r="L2024" s="27"/>
      <c r="M2024" s="1225"/>
      <c r="N2024" s="895"/>
      <c r="O2024" s="895"/>
    </row>
    <row r="2025" spans="1:15" s="896" customFormat="1" x14ac:dyDescent="0.2">
      <c r="A2025" s="99"/>
      <c r="B2025" s="111"/>
      <c r="C2025" s="119"/>
      <c r="D2025" s="99"/>
      <c r="E2025" s="176"/>
      <c r="F2025" s="1118"/>
      <c r="G2025" s="1135"/>
      <c r="H2025" s="1139"/>
      <c r="I2025" s="1140"/>
      <c r="J2025" s="1140"/>
      <c r="K2025" s="1141"/>
      <c r="L2025" s="27"/>
      <c r="M2025" s="1225"/>
      <c r="N2025" s="895"/>
      <c r="O2025" s="895"/>
    </row>
    <row r="2026" spans="1:15" s="642" customFormat="1" x14ac:dyDescent="0.2">
      <c r="A2026" s="101"/>
      <c r="B2026" s="781"/>
      <c r="C2026" s="121"/>
      <c r="D2026" s="101"/>
      <c r="E2026" s="177"/>
      <c r="F2026" s="1142">
        <v>367</v>
      </c>
      <c r="G2026" s="1143" t="s">
        <v>514</v>
      </c>
      <c r="H2026" s="196" t="s">
        <v>515</v>
      </c>
      <c r="I2026" s="472">
        <v>142400000</v>
      </c>
      <c r="J2026" s="472"/>
      <c r="K2026" s="472">
        <f>SUM(I2026+J2026)</f>
        <v>142400000</v>
      </c>
      <c r="L2026" s="27"/>
      <c r="M2026" s="1223"/>
      <c r="N2026" s="61"/>
      <c r="O2026" s="61"/>
    </row>
    <row r="2027" spans="1:15" x14ac:dyDescent="0.2">
      <c r="A2027" s="103"/>
      <c r="B2027" s="113"/>
      <c r="C2027" s="122"/>
      <c r="D2027" s="103"/>
      <c r="E2027" s="250"/>
      <c r="F2027" s="1148"/>
      <c r="G2027" s="1149"/>
      <c r="H2027" s="1150" t="s">
        <v>742</v>
      </c>
      <c r="I2027" s="1151">
        <f>SUM(I2026)</f>
        <v>142400000</v>
      </c>
      <c r="J2027" s="1151"/>
      <c r="K2027" s="1151">
        <f t="shared" ref="K2027" si="100">SUM(K2026)</f>
        <v>142400000</v>
      </c>
    </row>
    <row r="2028" spans="1:15" s="642" customFormat="1" x14ac:dyDescent="0.2">
      <c r="A2028" s="788"/>
      <c r="B2028" s="789"/>
      <c r="C2028" s="790"/>
      <c r="D2028" s="148"/>
      <c r="E2028" s="767"/>
      <c r="F2028" s="1"/>
      <c r="G2028" s="1"/>
      <c r="H2028" s="138" t="s">
        <v>141</v>
      </c>
      <c r="I2028" s="163"/>
      <c r="J2028" s="859"/>
      <c r="K2028" s="860"/>
      <c r="L2028" s="887"/>
      <c r="M2028" s="1223"/>
      <c r="N2028" s="61"/>
      <c r="O2028" s="61"/>
    </row>
    <row r="2029" spans="1:15" s="642" customFormat="1" x14ac:dyDescent="0.2">
      <c r="A2029" s="788"/>
      <c r="B2029" s="789"/>
      <c r="C2029" s="790"/>
      <c r="D2029" s="148"/>
      <c r="E2029" s="767"/>
      <c r="F2029" s="1"/>
      <c r="G2029" s="38" t="s">
        <v>39</v>
      </c>
      <c r="H2029" s="93" t="s">
        <v>40</v>
      </c>
      <c r="I2029" s="242">
        <f>SUM(I2027)</f>
        <v>142400000</v>
      </c>
      <c r="J2029" s="1152"/>
      <c r="K2029" s="1152">
        <f>SUM(I2029+J2029)</f>
        <v>142400000</v>
      </c>
      <c r="L2029" s="887"/>
      <c r="M2029" s="1223"/>
      <c r="N2029" s="61"/>
      <c r="O2029" s="61"/>
    </row>
    <row r="2030" spans="1:15" s="642" customFormat="1" x14ac:dyDescent="0.2">
      <c r="A2030" s="98"/>
      <c r="B2030" s="111"/>
      <c r="C2030" s="111">
        <v>630</v>
      </c>
      <c r="D2030" s="98"/>
      <c r="E2030" s="128"/>
      <c r="F2030" s="42"/>
      <c r="G2030" s="43"/>
      <c r="H2030" s="97" t="s">
        <v>144</v>
      </c>
      <c r="I2030" s="162">
        <f>SUM(I2029)</f>
        <v>142400000</v>
      </c>
      <c r="J2030" s="170"/>
      <c r="K2030" s="170">
        <f t="shared" ref="K2030" si="101">SUM(K2029)</f>
        <v>142400000</v>
      </c>
      <c r="L2030" s="27"/>
      <c r="M2030" s="1223"/>
      <c r="N2030" s="61"/>
      <c r="O2030" s="61"/>
    </row>
    <row r="2031" spans="1:15" s="642" customFormat="1" x14ac:dyDescent="0.2">
      <c r="A2031" s="94"/>
      <c r="B2031" s="111"/>
      <c r="C2031" s="119"/>
      <c r="D2031" s="99"/>
      <c r="E2031" s="176"/>
      <c r="F2031" s="46"/>
      <c r="G2031" s="64"/>
      <c r="H2031" s="55"/>
      <c r="I2031" s="59"/>
      <c r="J2031" s="59"/>
      <c r="K2031" s="373"/>
      <c r="L2031" s="27"/>
      <c r="M2031" s="1223"/>
      <c r="N2031" s="61"/>
      <c r="O2031" s="61"/>
    </row>
    <row r="2032" spans="1:15" s="893" customFormat="1" x14ac:dyDescent="0.2">
      <c r="A2032" s="99"/>
      <c r="B2032" s="111"/>
      <c r="C2032" s="119"/>
      <c r="D2032" s="126" t="s">
        <v>559</v>
      </c>
      <c r="E2032" s="126"/>
      <c r="F2032" s="134"/>
      <c r="G2032" s="135"/>
      <c r="H2032" s="220" t="s">
        <v>561</v>
      </c>
      <c r="I2032" s="221">
        <f>SUM(I2041+I2048+I2054+I2060+I2066)</f>
        <v>85699195.25999999</v>
      </c>
      <c r="J2032" s="908"/>
      <c r="K2032" s="222">
        <f>SUM(I2032:J2032)</f>
        <v>85699195.25999999</v>
      </c>
      <c r="L2032" s="27"/>
      <c r="M2032" s="1224"/>
      <c r="N2032" s="892"/>
      <c r="O2032" s="892"/>
    </row>
    <row r="2033" spans="1:15" s="893" customFormat="1" x14ac:dyDescent="0.2">
      <c r="A2033" s="99"/>
      <c r="B2033" s="111"/>
      <c r="C2033" s="119"/>
      <c r="D2033" s="99"/>
      <c r="E2033" s="248"/>
      <c r="F2033" s="134"/>
      <c r="G2033" s="135"/>
      <c r="H2033" s="144"/>
      <c r="I2033" s="149"/>
      <c r="J2033" s="145"/>
      <c r="K2033" s="198"/>
      <c r="L2033" s="26"/>
      <c r="M2033" s="1224"/>
      <c r="N2033" s="892"/>
      <c r="O2033" s="892"/>
    </row>
    <row r="2034" spans="1:15" s="642" customFormat="1" x14ac:dyDescent="0.2">
      <c r="A2034" s="101"/>
      <c r="B2034" s="781"/>
      <c r="C2034" s="121"/>
      <c r="D2034" s="101"/>
      <c r="E2034" s="252"/>
      <c r="F2034" s="39"/>
      <c r="G2034" s="39"/>
      <c r="H2034" s="168" t="s">
        <v>145</v>
      </c>
      <c r="I2034" s="163"/>
      <c r="J2034" s="163"/>
      <c r="K2034" s="164"/>
      <c r="L2034" s="27"/>
      <c r="M2034" s="1223"/>
      <c r="N2034" s="61"/>
      <c r="O2034" s="61"/>
    </row>
    <row r="2035" spans="1:15" s="642" customFormat="1" x14ac:dyDescent="0.2">
      <c r="A2035" s="88"/>
      <c r="B2035" s="124"/>
      <c r="C2035" s="124"/>
      <c r="D2035" s="95"/>
      <c r="E2035" s="193"/>
      <c r="F2035" s="1"/>
      <c r="G2035" s="1"/>
      <c r="H2035" s="44"/>
      <c r="I2035" s="47"/>
      <c r="J2035" s="47"/>
      <c r="K2035" s="199"/>
      <c r="L2035" s="27"/>
      <c r="M2035" s="1223"/>
      <c r="N2035" s="61"/>
      <c r="O2035" s="61"/>
    </row>
    <row r="2036" spans="1:15" s="642" customFormat="1" x14ac:dyDescent="0.2">
      <c r="A2036" s="919"/>
      <c r="B2036" s="120"/>
      <c r="C2036" s="120"/>
      <c r="D2036" s="100"/>
      <c r="E2036" s="1311" t="s">
        <v>559</v>
      </c>
      <c r="F2036" s="37"/>
      <c r="G2036" s="37"/>
      <c r="H2036" s="1093" t="s">
        <v>926</v>
      </c>
      <c r="I2036" s="289"/>
      <c r="J2036" s="1005"/>
      <c r="K2036" s="157"/>
      <c r="L2036" s="27"/>
      <c r="M2036" s="1223"/>
      <c r="N2036" s="61"/>
      <c r="O2036" s="61"/>
    </row>
    <row r="2037" spans="1:15" s="642" customFormat="1" x14ac:dyDescent="0.2">
      <c r="A2037" s="583"/>
      <c r="B2037" s="121"/>
      <c r="C2037" s="121"/>
      <c r="D2037" s="101"/>
      <c r="E2037" s="252"/>
      <c r="F2037" s="212">
        <v>368</v>
      </c>
      <c r="G2037" s="1153">
        <v>511</v>
      </c>
      <c r="H2037" s="175" t="s">
        <v>20</v>
      </c>
      <c r="I2037" s="241">
        <v>1000</v>
      </c>
      <c r="J2037" s="1154"/>
      <c r="K2037" s="187">
        <f>SUM(I2037+J2037)</f>
        <v>1000</v>
      </c>
      <c r="L2037" s="27"/>
      <c r="M2037" s="1223"/>
      <c r="N2037" s="61"/>
      <c r="O2037" s="61"/>
    </row>
    <row r="2038" spans="1:15" x14ac:dyDescent="0.2">
      <c r="A2038" s="436"/>
      <c r="B2038" s="421"/>
      <c r="C2038" s="421"/>
      <c r="D2038" s="131"/>
      <c r="E2038" s="395"/>
      <c r="F2038" s="1048"/>
      <c r="G2038" s="1048"/>
      <c r="H2038" s="97" t="s">
        <v>350</v>
      </c>
      <c r="I2038" s="179">
        <f>SUM(I2037:I2037)</f>
        <v>1000</v>
      </c>
      <c r="J2038" s="179"/>
      <c r="K2038" s="179">
        <f>SUM(K2037:K2037)</f>
        <v>1000</v>
      </c>
      <c r="L2038" s="35"/>
    </row>
    <row r="2039" spans="1:15" s="810" customFormat="1" x14ac:dyDescent="0.2">
      <c r="A2039" s="835"/>
      <c r="B2039" s="827"/>
      <c r="C2039" s="827"/>
      <c r="D2039" s="825"/>
      <c r="E2039" s="483"/>
      <c r="F2039" s="290"/>
      <c r="G2039" s="1155" t="s">
        <v>39</v>
      </c>
      <c r="H2039" s="175" t="s">
        <v>40</v>
      </c>
      <c r="I2039" s="241">
        <v>500</v>
      </c>
      <c r="J2039" s="187"/>
      <c r="K2039" s="187">
        <f>SUM(I2039+J2039)</f>
        <v>500</v>
      </c>
      <c r="L2039" s="695"/>
      <c r="M2039" s="1223"/>
      <c r="N2039" s="809"/>
      <c r="O2039" s="809"/>
    </row>
    <row r="2040" spans="1:15" s="810" customFormat="1" x14ac:dyDescent="0.2">
      <c r="A2040" s="1159"/>
      <c r="B2040" s="850"/>
      <c r="C2040" s="850"/>
      <c r="D2040" s="848"/>
      <c r="E2040" s="502"/>
      <c r="F2040" s="1156"/>
      <c r="G2040" s="1157" t="s">
        <v>157</v>
      </c>
      <c r="H2040" s="175" t="s">
        <v>354</v>
      </c>
      <c r="I2040" s="241">
        <v>500</v>
      </c>
      <c r="J2040" s="187"/>
      <c r="K2040" s="187">
        <f>SUM(I2040+J2040)</f>
        <v>500</v>
      </c>
      <c r="L2040" s="35"/>
      <c r="M2040" s="1223"/>
      <c r="N2040" s="809"/>
      <c r="O2040" s="809"/>
    </row>
    <row r="2041" spans="1:15" s="810" customFormat="1" x14ac:dyDescent="0.2">
      <c r="A2041" s="835"/>
      <c r="B2041" s="827"/>
      <c r="C2041" s="827"/>
      <c r="D2041" s="825"/>
      <c r="E2041" s="828"/>
      <c r="F2041" s="1048"/>
      <c r="G2041" s="1048"/>
      <c r="H2041" s="1158" t="s">
        <v>350</v>
      </c>
      <c r="I2041" s="188">
        <f>SUM(I2039:I2040)</f>
        <v>1000</v>
      </c>
      <c r="J2041" s="188"/>
      <c r="K2041" s="188">
        <f>SUM(K2039:K2040)</f>
        <v>1000</v>
      </c>
      <c r="L2041" s="695"/>
      <c r="M2041" s="1223"/>
      <c r="N2041" s="809"/>
      <c r="O2041" s="809"/>
    </row>
    <row r="2042" spans="1:15" s="810" customFormat="1" x14ac:dyDescent="0.2">
      <c r="A2042" s="835"/>
      <c r="B2042" s="827"/>
      <c r="C2042" s="827"/>
      <c r="D2042" s="825"/>
      <c r="E2042" s="828"/>
      <c r="F2042" s="296"/>
      <c r="G2042" s="296"/>
      <c r="H2042" s="404"/>
      <c r="I2042" s="223"/>
      <c r="J2042" s="223"/>
      <c r="K2042" s="280"/>
      <c r="L2042" s="695"/>
      <c r="M2042" s="1223"/>
      <c r="N2042" s="809"/>
      <c r="O2042" s="809"/>
    </row>
    <row r="2043" spans="1:15" s="810" customFormat="1" ht="67.5" x14ac:dyDescent="0.2">
      <c r="A2043" s="835"/>
      <c r="B2043" s="827"/>
      <c r="C2043" s="827"/>
      <c r="D2043" s="825"/>
      <c r="E2043" s="128" t="s">
        <v>559</v>
      </c>
      <c r="F2043" s="484"/>
      <c r="G2043" s="484"/>
      <c r="H2043" s="1093" t="s">
        <v>927</v>
      </c>
      <c r="I2043" s="904"/>
      <c r="J2043" s="904"/>
      <c r="K2043" s="905"/>
      <c r="L2043" s="695"/>
      <c r="M2043" s="1223"/>
      <c r="N2043" s="809"/>
      <c r="O2043" s="809"/>
    </row>
    <row r="2044" spans="1:15" s="810" customFormat="1" x14ac:dyDescent="0.2">
      <c r="A2044" s="1159"/>
      <c r="B2044" s="850"/>
      <c r="C2044" s="850"/>
      <c r="D2044" s="848"/>
      <c r="E2044" s="502"/>
      <c r="F2044" s="499">
        <v>369</v>
      </c>
      <c r="G2044" s="500">
        <v>511</v>
      </c>
      <c r="H2044" s="12" t="s">
        <v>20</v>
      </c>
      <c r="I2044" s="133">
        <v>17120001.34</v>
      </c>
      <c r="J2044" s="133"/>
      <c r="K2044" s="133">
        <f>SUM(I2044:J2044)</f>
        <v>17120001.34</v>
      </c>
      <c r="L2044" s="695"/>
      <c r="M2044" s="1223"/>
      <c r="N2044" s="809"/>
      <c r="O2044" s="809"/>
    </row>
    <row r="2045" spans="1:15" s="810" customFormat="1" x14ac:dyDescent="0.2">
      <c r="A2045" s="835"/>
      <c r="B2045" s="827"/>
      <c r="C2045" s="827"/>
      <c r="D2045" s="825"/>
      <c r="E2045" s="828"/>
      <c r="F2045" s="484"/>
      <c r="G2045" s="805" t="s">
        <v>39</v>
      </c>
      <c r="H2045" s="12" t="s">
        <v>40</v>
      </c>
      <c r="I2045" s="133">
        <f>SUM(I2044-I2046-I2047)</f>
        <v>3424000.2700000009</v>
      </c>
      <c r="J2045" s="133"/>
      <c r="K2045" s="133">
        <f>SUM(I2045:J2045)</f>
        <v>3424000.2700000009</v>
      </c>
      <c r="L2045" s="695"/>
      <c r="M2045" s="1223"/>
      <c r="N2045" s="809"/>
      <c r="O2045" s="809"/>
    </row>
    <row r="2046" spans="1:15" s="810" customFormat="1" x14ac:dyDescent="0.2">
      <c r="A2046" s="835"/>
      <c r="B2046" s="827"/>
      <c r="C2046" s="827"/>
      <c r="D2046" s="825"/>
      <c r="E2046" s="483"/>
      <c r="F2046" s="484"/>
      <c r="G2046" s="805" t="s">
        <v>157</v>
      </c>
      <c r="H2046" s="12" t="s">
        <v>354</v>
      </c>
      <c r="I2046" s="133">
        <v>9773132.5399999991</v>
      </c>
      <c r="J2046" s="133"/>
      <c r="K2046" s="133">
        <f>SUM(I2046:J2046)</f>
        <v>9773132.5399999991</v>
      </c>
      <c r="L2046" s="695"/>
      <c r="M2046" s="1223"/>
      <c r="N2046" s="809"/>
      <c r="O2046" s="809"/>
    </row>
    <row r="2047" spans="1:15" s="810" customFormat="1" x14ac:dyDescent="0.2">
      <c r="A2047" s="1159"/>
      <c r="B2047" s="850"/>
      <c r="C2047" s="850"/>
      <c r="D2047" s="848"/>
      <c r="E2047" s="502"/>
      <c r="F2047" s="484"/>
      <c r="G2047" s="805" t="s">
        <v>1141</v>
      </c>
      <c r="H2047" s="90" t="s">
        <v>1142</v>
      </c>
      <c r="I2047" s="133">
        <v>3922868.53</v>
      </c>
      <c r="J2047" s="133"/>
      <c r="K2047" s="133">
        <f>SUM(I2047:J2047)</f>
        <v>3922868.53</v>
      </c>
      <c r="L2047" s="35"/>
      <c r="M2047" s="1223"/>
      <c r="N2047" s="809"/>
      <c r="O2047" s="809"/>
    </row>
    <row r="2048" spans="1:15" s="810" customFormat="1" x14ac:dyDescent="0.2">
      <c r="A2048" s="835"/>
      <c r="B2048" s="827"/>
      <c r="C2048" s="827"/>
      <c r="D2048" s="825"/>
      <c r="E2048" s="828"/>
      <c r="F2048" s="503"/>
      <c r="G2048" s="503"/>
      <c r="H2048" s="504" t="s">
        <v>351</v>
      </c>
      <c r="I2048" s="170">
        <f>SUM(I2044)</f>
        <v>17120001.34</v>
      </c>
      <c r="J2048" s="170"/>
      <c r="K2048" s="170">
        <f>SUM(I2048:J2048)</f>
        <v>17120001.34</v>
      </c>
      <c r="L2048" s="695"/>
      <c r="M2048" s="1223"/>
      <c r="N2048" s="809"/>
      <c r="O2048" s="809"/>
    </row>
    <row r="2049" spans="1:15" s="810" customFormat="1" x14ac:dyDescent="0.2">
      <c r="A2049" s="835"/>
      <c r="B2049" s="827"/>
      <c r="C2049" s="827"/>
      <c r="D2049" s="825"/>
      <c r="E2049" s="828"/>
      <c r="F2049" s="484"/>
      <c r="G2049" s="484"/>
      <c r="H2049" s="984"/>
      <c r="I2049" s="807"/>
      <c r="J2049" s="807"/>
      <c r="K2049" s="808"/>
      <c r="L2049" s="695"/>
      <c r="M2049" s="1223"/>
      <c r="N2049" s="809"/>
      <c r="O2049" s="809"/>
    </row>
    <row r="2050" spans="1:15" s="810" customFormat="1" ht="56.25" x14ac:dyDescent="0.2">
      <c r="A2050" s="1159"/>
      <c r="B2050" s="850"/>
      <c r="C2050" s="850"/>
      <c r="D2050" s="848"/>
      <c r="E2050" s="249" t="s">
        <v>559</v>
      </c>
      <c r="F2050" s="484"/>
      <c r="G2050" s="484"/>
      <c r="H2050" s="1093" t="s">
        <v>928</v>
      </c>
      <c r="I2050" s="904"/>
      <c r="J2050" s="904"/>
      <c r="K2050" s="905"/>
      <c r="L2050" s="695"/>
      <c r="M2050" s="1223"/>
      <c r="N2050" s="809"/>
      <c r="O2050" s="809"/>
    </row>
    <row r="2051" spans="1:15" s="810" customFormat="1" x14ac:dyDescent="0.2">
      <c r="A2051" s="835"/>
      <c r="B2051" s="827"/>
      <c r="C2051" s="827"/>
      <c r="D2051" s="825"/>
      <c r="E2051" s="828"/>
      <c r="F2051" s="499">
        <v>370</v>
      </c>
      <c r="G2051" s="1160">
        <v>511</v>
      </c>
      <c r="H2051" s="12" t="s">
        <v>20</v>
      </c>
      <c r="I2051" s="133">
        <v>530208</v>
      </c>
      <c r="J2051" s="133"/>
      <c r="K2051" s="133">
        <f>SUM(I2051:J2051)</f>
        <v>530208</v>
      </c>
      <c r="L2051" s="695"/>
      <c r="M2051" s="1223"/>
      <c r="N2051" s="809"/>
      <c r="O2051" s="809"/>
    </row>
    <row r="2052" spans="1:15" s="810" customFormat="1" x14ac:dyDescent="0.2">
      <c r="A2052" s="835"/>
      <c r="B2052" s="827"/>
      <c r="C2052" s="827"/>
      <c r="D2052" s="825"/>
      <c r="E2052" s="483"/>
      <c r="F2052" s="484"/>
      <c r="G2052" s="805" t="s">
        <v>39</v>
      </c>
      <c r="H2052" s="12" t="s">
        <v>40</v>
      </c>
      <c r="I2052" s="133">
        <f>SUM(I2051-I2053)</f>
        <v>176736</v>
      </c>
      <c r="J2052" s="133"/>
      <c r="K2052" s="133">
        <f>SUM(I2052:J2052)</f>
        <v>176736</v>
      </c>
      <c r="L2052" s="695"/>
      <c r="M2052" s="1223"/>
      <c r="N2052" s="809"/>
      <c r="O2052" s="809"/>
    </row>
    <row r="2053" spans="1:15" s="810" customFormat="1" x14ac:dyDescent="0.2">
      <c r="A2053" s="1159"/>
      <c r="B2053" s="850"/>
      <c r="C2053" s="850"/>
      <c r="D2053" s="848"/>
      <c r="E2053" s="502"/>
      <c r="F2053" s="484"/>
      <c r="G2053" s="805" t="s">
        <v>1141</v>
      </c>
      <c r="H2053" s="90" t="s">
        <v>1142</v>
      </c>
      <c r="I2053" s="133">
        <v>353472</v>
      </c>
      <c r="J2053" s="133"/>
      <c r="K2053" s="133">
        <f>SUM(I2053:J2053)</f>
        <v>353472</v>
      </c>
      <c r="L2053" s="35"/>
      <c r="M2053" s="1223"/>
      <c r="N2053" s="809"/>
      <c r="O2053" s="809"/>
    </row>
    <row r="2054" spans="1:15" s="810" customFormat="1" x14ac:dyDescent="0.2">
      <c r="A2054" s="835"/>
      <c r="B2054" s="827"/>
      <c r="C2054" s="827"/>
      <c r="D2054" s="825"/>
      <c r="E2054" s="828"/>
      <c r="F2054" s="503"/>
      <c r="G2054" s="503"/>
      <c r="H2054" s="504" t="s">
        <v>385</v>
      </c>
      <c r="I2054" s="170">
        <f>SUM(I2051)</f>
        <v>530208</v>
      </c>
      <c r="J2054" s="170"/>
      <c r="K2054" s="170">
        <f>SUM(K2051)</f>
        <v>530208</v>
      </c>
      <c r="L2054" s="695"/>
      <c r="M2054" s="1223"/>
      <c r="N2054" s="809"/>
      <c r="O2054" s="809"/>
    </row>
    <row r="2055" spans="1:15" s="810" customFormat="1" x14ac:dyDescent="0.2">
      <c r="A2055" s="835"/>
      <c r="B2055" s="827"/>
      <c r="C2055" s="827"/>
      <c r="D2055" s="825"/>
      <c r="E2055" s="828"/>
      <c r="F2055" s="484"/>
      <c r="G2055" s="484"/>
      <c r="H2055" s="847"/>
      <c r="I2055" s="863"/>
      <c r="J2055" s="863"/>
      <c r="K2055" s="864"/>
      <c r="L2055" s="695"/>
      <c r="M2055" s="1223"/>
      <c r="N2055" s="809"/>
      <c r="O2055" s="809"/>
    </row>
    <row r="2056" spans="1:15" s="810" customFormat="1" ht="56.25" x14ac:dyDescent="0.2">
      <c r="A2056" s="1159"/>
      <c r="B2056" s="850"/>
      <c r="C2056" s="850"/>
      <c r="D2056" s="848"/>
      <c r="E2056" s="249" t="s">
        <v>559</v>
      </c>
      <c r="F2056" s="1161"/>
      <c r="G2056" s="1162"/>
      <c r="H2056" s="1093" t="s">
        <v>929</v>
      </c>
      <c r="I2056" s="904"/>
      <c r="J2056" s="904"/>
      <c r="K2056" s="905"/>
      <c r="L2056" s="695"/>
      <c r="M2056" s="1223"/>
      <c r="N2056" s="809"/>
      <c r="O2056" s="809"/>
    </row>
    <row r="2057" spans="1:15" s="810" customFormat="1" x14ac:dyDescent="0.2">
      <c r="A2057" s="835"/>
      <c r="B2057" s="827"/>
      <c r="C2057" s="827"/>
      <c r="D2057" s="825"/>
      <c r="E2057" s="828"/>
      <c r="F2057" s="499">
        <v>371</v>
      </c>
      <c r="G2057" s="500">
        <v>511</v>
      </c>
      <c r="H2057" s="12" t="s">
        <v>20</v>
      </c>
      <c r="I2057" s="133">
        <v>33964466.32</v>
      </c>
      <c r="J2057" s="173"/>
      <c r="K2057" s="133">
        <f>SUM(I2057:J2057)</f>
        <v>33964466.32</v>
      </c>
      <c r="L2057" s="807"/>
      <c r="M2057" s="1223"/>
      <c r="N2057" s="809"/>
      <c r="O2057" s="809"/>
    </row>
    <row r="2058" spans="1:15" s="810" customFormat="1" x14ac:dyDescent="0.2">
      <c r="A2058" s="835"/>
      <c r="B2058" s="827"/>
      <c r="C2058" s="827"/>
      <c r="D2058" s="825"/>
      <c r="E2058" s="483"/>
      <c r="F2058" s="484"/>
      <c r="G2058" s="805" t="s">
        <v>39</v>
      </c>
      <c r="H2058" s="12" t="s">
        <v>40</v>
      </c>
      <c r="I2058" s="133">
        <f>SUM(I2057-I2059)</f>
        <v>6792893.2699999996</v>
      </c>
      <c r="J2058" s="173"/>
      <c r="K2058" s="133">
        <f>SUM(I2058:J2058)</f>
        <v>6792893.2699999996</v>
      </c>
      <c r="L2058" s="807"/>
      <c r="M2058" s="1223"/>
      <c r="N2058" s="809"/>
      <c r="O2058" s="809"/>
    </row>
    <row r="2059" spans="1:15" s="810" customFormat="1" x14ac:dyDescent="0.2">
      <c r="A2059" s="835"/>
      <c r="B2059" s="827"/>
      <c r="C2059" s="827"/>
      <c r="D2059" s="825"/>
      <c r="E2059" s="502"/>
      <c r="F2059" s="484"/>
      <c r="G2059" s="805" t="s">
        <v>157</v>
      </c>
      <c r="H2059" s="12" t="s">
        <v>354</v>
      </c>
      <c r="I2059" s="133">
        <v>27171573.050000001</v>
      </c>
      <c r="J2059" s="173"/>
      <c r="K2059" s="133">
        <f>SUM(I2059:J2059)</f>
        <v>27171573.050000001</v>
      </c>
      <c r="L2059" s="35"/>
      <c r="M2059" s="1223"/>
      <c r="N2059" s="809"/>
      <c r="O2059" s="809"/>
    </row>
    <row r="2060" spans="1:15" s="810" customFormat="1" x14ac:dyDescent="0.2">
      <c r="A2060" s="835"/>
      <c r="B2060" s="827"/>
      <c r="C2060" s="827"/>
      <c r="D2060" s="825"/>
      <c r="E2060" s="828"/>
      <c r="F2060" s="503"/>
      <c r="G2060" s="503"/>
      <c r="H2060" s="504" t="s">
        <v>712</v>
      </c>
      <c r="I2060" s="170">
        <f>SUM(I2057)</f>
        <v>33964466.32</v>
      </c>
      <c r="J2060" s="170"/>
      <c r="K2060" s="170">
        <f>SUM(I2060:J2060)</f>
        <v>33964466.32</v>
      </c>
      <c r="L2060" s="807"/>
      <c r="M2060" s="1223"/>
      <c r="N2060" s="809"/>
      <c r="O2060" s="809"/>
    </row>
    <row r="2061" spans="1:15" s="810" customFormat="1" x14ac:dyDescent="0.2">
      <c r="A2061" s="835"/>
      <c r="B2061" s="827"/>
      <c r="C2061" s="827"/>
      <c r="D2061" s="825"/>
      <c r="E2061" s="828"/>
      <c r="F2061" s="484"/>
      <c r="G2061" s="484"/>
      <c r="H2061" s="658"/>
      <c r="I2061" s="906"/>
      <c r="J2061" s="906"/>
      <c r="K2061" s="906"/>
      <c r="L2061" s="807"/>
      <c r="M2061" s="1223"/>
      <c r="N2061" s="809"/>
      <c r="O2061" s="809"/>
    </row>
    <row r="2062" spans="1:15" s="810" customFormat="1" ht="33.75" x14ac:dyDescent="0.2">
      <c r="A2062" s="835"/>
      <c r="B2062" s="827"/>
      <c r="C2062" s="827"/>
      <c r="D2062" s="825"/>
      <c r="E2062" s="249" t="s">
        <v>559</v>
      </c>
      <c r="F2062" s="1161"/>
      <c r="G2062" s="1162"/>
      <c r="H2062" s="1093" t="s">
        <v>1139</v>
      </c>
      <c r="I2062" s="904"/>
      <c r="J2062" s="904"/>
      <c r="K2062" s="905"/>
      <c r="L2062" s="807"/>
      <c r="M2062" s="1223"/>
      <c r="N2062" s="809"/>
      <c r="O2062" s="809"/>
    </row>
    <row r="2063" spans="1:15" s="340" customFormat="1" x14ac:dyDescent="0.2">
      <c r="A2063" s="436"/>
      <c r="B2063" s="421"/>
      <c r="C2063" s="421"/>
      <c r="D2063" s="131"/>
      <c r="E2063" s="395"/>
      <c r="F2063" s="499" t="s">
        <v>1034</v>
      </c>
      <c r="G2063" s="500">
        <v>511</v>
      </c>
      <c r="H2063" s="12" t="s">
        <v>20</v>
      </c>
      <c r="I2063" s="133">
        <v>34083519.600000001</v>
      </c>
      <c r="J2063" s="173"/>
      <c r="K2063" s="133">
        <f>SUM(I2063:J2063)</f>
        <v>34083519.600000001</v>
      </c>
      <c r="L2063" s="223"/>
      <c r="M2063" s="1223"/>
      <c r="N2063" s="437"/>
      <c r="O2063" s="437"/>
    </row>
    <row r="2064" spans="1:15" s="642" customFormat="1" x14ac:dyDescent="0.2">
      <c r="A2064" s="788"/>
      <c r="B2064" s="789"/>
      <c r="C2064" s="790"/>
      <c r="D2064" s="148"/>
      <c r="E2064" s="767"/>
      <c r="F2064" s="484"/>
      <c r="G2064" s="805" t="s">
        <v>39</v>
      </c>
      <c r="H2064" s="12" t="s">
        <v>40</v>
      </c>
      <c r="I2064" s="133">
        <f>SUM(I2063-I2065)</f>
        <v>14201466.5</v>
      </c>
      <c r="J2064" s="173"/>
      <c r="K2064" s="133">
        <f>SUM(I2064:J2064)</f>
        <v>14201466.5</v>
      </c>
      <c r="L2064" s="887"/>
      <c r="M2064" s="1223"/>
      <c r="N2064" s="61"/>
      <c r="O2064" s="61"/>
    </row>
    <row r="2065" spans="1:15" s="642" customFormat="1" x14ac:dyDescent="0.2">
      <c r="A2065" s="788"/>
      <c r="B2065" s="789"/>
      <c r="C2065" s="790"/>
      <c r="D2065" s="148"/>
      <c r="E2065" s="767"/>
      <c r="F2065" s="484"/>
      <c r="G2065" s="805" t="s">
        <v>157</v>
      </c>
      <c r="H2065" s="12" t="s">
        <v>354</v>
      </c>
      <c r="I2065" s="133">
        <v>19882053.100000001</v>
      </c>
      <c r="J2065" s="173"/>
      <c r="K2065" s="133">
        <f>SUM(I2065:J2065)</f>
        <v>19882053.100000001</v>
      </c>
      <c r="L2065" s="887"/>
      <c r="M2065" s="1223"/>
      <c r="N2065" s="61"/>
      <c r="O2065" s="61"/>
    </row>
    <row r="2066" spans="1:15" s="642" customFormat="1" x14ac:dyDescent="0.2">
      <c r="A2066" s="99"/>
      <c r="B2066" s="111"/>
      <c r="C2066" s="119"/>
      <c r="D2066" s="94"/>
      <c r="E2066" s="176"/>
      <c r="F2066" s="503"/>
      <c r="G2066" s="503"/>
      <c r="H2066" s="504" t="s">
        <v>1140</v>
      </c>
      <c r="I2066" s="170">
        <f>SUM(I2063)</f>
        <v>34083519.600000001</v>
      </c>
      <c r="J2066" s="170"/>
      <c r="K2066" s="170">
        <f>SUM(I2066:J2066)</f>
        <v>34083519.600000001</v>
      </c>
      <c r="L2066" s="27"/>
      <c r="M2066" s="1223"/>
      <c r="N2066" s="61"/>
      <c r="O2066" s="61"/>
    </row>
    <row r="2067" spans="1:15" s="642" customFormat="1" x14ac:dyDescent="0.2">
      <c r="A2067" s="99"/>
      <c r="B2067" s="111"/>
      <c r="C2067" s="119"/>
      <c r="D2067" s="94"/>
      <c r="E2067" s="128"/>
      <c r="F2067" s="296"/>
      <c r="G2067" s="296"/>
      <c r="H2067" s="335"/>
      <c r="I2067" s="229"/>
      <c r="J2067" s="229"/>
      <c r="K2067" s="229"/>
      <c r="L2067" s="27"/>
      <c r="M2067" s="1223"/>
      <c r="N2067" s="61"/>
      <c r="O2067" s="61"/>
    </row>
    <row r="2068" spans="1:15" s="893" customFormat="1" x14ac:dyDescent="0.2">
      <c r="A2068" s="102"/>
      <c r="B2068" s="890"/>
      <c r="C2068" s="116"/>
      <c r="D2068" s="148" t="s">
        <v>314</v>
      </c>
      <c r="E2068" s="126"/>
      <c r="F2068" s="134"/>
      <c r="G2068" s="135"/>
      <c r="H2068" s="220" t="s">
        <v>564</v>
      </c>
      <c r="I2068" s="221">
        <f>SUM(I2083+I2095+I2107+I2117+I2126+I2135+I2142+I2149+I2155+I2162)</f>
        <v>180764500</v>
      </c>
      <c r="J2068" s="221"/>
      <c r="K2068" s="222">
        <f>SUM(I2068:J2068)</f>
        <v>180764500</v>
      </c>
      <c r="L2068" s="27"/>
      <c r="M2068" s="1224"/>
      <c r="N2068" s="892"/>
      <c r="O2068" s="892"/>
    </row>
    <row r="2069" spans="1:15" s="893" customFormat="1" x14ac:dyDescent="0.2">
      <c r="A2069" s="102"/>
      <c r="B2069" s="890"/>
      <c r="C2069" s="890">
        <v>421</v>
      </c>
      <c r="D2069" s="126"/>
      <c r="E2069" s="248"/>
      <c r="F2069" s="134"/>
      <c r="G2069" s="135"/>
      <c r="H2069" s="144"/>
      <c r="I2069" s="149"/>
      <c r="J2069" s="149"/>
      <c r="K2069" s="198"/>
      <c r="L2069" s="27"/>
      <c r="M2069" s="1224"/>
      <c r="N2069" s="892"/>
      <c r="O2069" s="892"/>
    </row>
    <row r="2070" spans="1:15" s="642" customFormat="1" x14ac:dyDescent="0.2">
      <c r="A2070" s="102"/>
      <c r="B2070" s="890"/>
      <c r="C2070" s="890"/>
      <c r="D2070" s="126"/>
      <c r="E2070" s="248"/>
      <c r="F2070" s="1"/>
      <c r="G2070" s="38"/>
      <c r="H2070" s="136" t="s">
        <v>334</v>
      </c>
      <c r="I2070" s="180"/>
      <c r="J2070" s="180"/>
      <c r="K2070" s="889"/>
      <c r="L2070" s="27"/>
      <c r="M2070" s="1223"/>
      <c r="N2070" s="61"/>
      <c r="O2070" s="61"/>
    </row>
    <row r="2071" spans="1:15" s="642" customFormat="1" ht="22.5" x14ac:dyDescent="0.2">
      <c r="A2071" s="99"/>
      <c r="B2071" s="111"/>
      <c r="C2071" s="119"/>
      <c r="D2071" s="94"/>
      <c r="E2071" s="128" t="s">
        <v>315</v>
      </c>
      <c r="F2071" s="1"/>
      <c r="G2071" s="40"/>
      <c r="H2071" s="913" t="s">
        <v>565</v>
      </c>
      <c r="I2071" s="141"/>
      <c r="J2071" s="141"/>
      <c r="K2071" s="793"/>
      <c r="L2071" s="27"/>
      <c r="M2071" s="1223"/>
      <c r="N2071" s="61"/>
      <c r="O2071" s="61"/>
    </row>
    <row r="2072" spans="1:15" s="642" customFormat="1" x14ac:dyDescent="0.2">
      <c r="A2072" s="99"/>
      <c r="B2072" s="111"/>
      <c r="C2072" s="119"/>
      <c r="D2072" s="94"/>
      <c r="E2072" s="176"/>
      <c r="F2072" s="37"/>
      <c r="G2072" s="28"/>
      <c r="H2072" s="29"/>
      <c r="I2072" s="62"/>
      <c r="J2072" s="62"/>
      <c r="K2072" s="288"/>
      <c r="L2072" s="27"/>
      <c r="M2072" s="1223"/>
      <c r="N2072" s="61"/>
      <c r="O2072" s="61"/>
    </row>
    <row r="2073" spans="1:15" s="642" customFormat="1" x14ac:dyDescent="0.2">
      <c r="A2073" s="99"/>
      <c r="B2073" s="111"/>
      <c r="C2073" s="119"/>
      <c r="D2073" s="94"/>
      <c r="E2073" s="176"/>
      <c r="F2073" s="37" t="s">
        <v>273</v>
      </c>
      <c r="G2073" s="30"/>
      <c r="H2073" s="1026" t="s">
        <v>386</v>
      </c>
      <c r="I2073" s="287"/>
      <c r="J2073" s="287"/>
      <c r="K2073" s="894"/>
      <c r="L2073" s="27"/>
      <c r="M2073" s="1223"/>
      <c r="N2073" s="61"/>
      <c r="O2073" s="61"/>
    </row>
    <row r="2074" spans="1:15" s="642" customFormat="1" x14ac:dyDescent="0.2">
      <c r="A2074" s="101"/>
      <c r="B2074" s="781"/>
      <c r="C2074" s="121"/>
      <c r="D2074" s="101"/>
      <c r="E2074" s="177"/>
      <c r="F2074" s="37"/>
      <c r="G2074" s="30"/>
      <c r="H2074" s="29"/>
      <c r="I2074" s="62"/>
      <c r="J2074" s="62"/>
      <c r="K2074" s="288"/>
      <c r="L2074" s="27"/>
      <c r="M2074" s="1223"/>
      <c r="N2074" s="61"/>
      <c r="O2074" s="61"/>
    </row>
    <row r="2075" spans="1:15" s="642" customFormat="1" x14ac:dyDescent="0.2">
      <c r="A2075" s="99"/>
      <c r="B2075" s="111"/>
      <c r="C2075" s="119"/>
      <c r="D2075" s="99"/>
      <c r="E2075" s="176"/>
      <c r="F2075" s="124">
        <v>372</v>
      </c>
      <c r="G2075" s="95">
        <v>424</v>
      </c>
      <c r="H2075" s="89" t="s">
        <v>146</v>
      </c>
      <c r="I2075" s="160">
        <v>1536000</v>
      </c>
      <c r="J2075" s="160"/>
      <c r="K2075" s="160">
        <f>SUM(I2075+J2075)</f>
        <v>1536000</v>
      </c>
      <c r="L2075" s="27"/>
      <c r="M2075" s="1223"/>
      <c r="N2075" s="61"/>
      <c r="O2075" s="61"/>
    </row>
    <row r="2076" spans="1:15" s="642" customFormat="1" x14ac:dyDescent="0.2">
      <c r="A2076" s="99"/>
      <c r="B2076" s="98"/>
      <c r="C2076" s="99"/>
      <c r="D2076" s="99"/>
      <c r="E2076" s="176"/>
      <c r="F2076" s="124">
        <v>373</v>
      </c>
      <c r="G2076" s="95">
        <v>425</v>
      </c>
      <c r="H2076" s="89" t="s">
        <v>11</v>
      </c>
      <c r="I2076" s="160">
        <v>4000000</v>
      </c>
      <c r="J2076" s="160"/>
      <c r="K2076" s="160">
        <f>SUM(I2076+J2076)</f>
        <v>4000000</v>
      </c>
      <c r="L2076" s="27"/>
      <c r="M2076" s="1223"/>
      <c r="N2076" s="61"/>
      <c r="O2076" s="61"/>
    </row>
    <row r="2077" spans="1:15" s="642" customFormat="1" x14ac:dyDescent="0.2">
      <c r="A2077" s="99"/>
      <c r="B2077" s="98"/>
      <c r="C2077" s="99"/>
      <c r="D2077" s="99"/>
      <c r="E2077" s="176"/>
      <c r="F2077" s="124">
        <v>374</v>
      </c>
      <c r="G2077" s="95">
        <v>426</v>
      </c>
      <c r="H2077" s="89" t="s">
        <v>36</v>
      </c>
      <c r="I2077" s="160">
        <v>4000000</v>
      </c>
      <c r="J2077" s="160"/>
      <c r="K2077" s="160">
        <f>SUM(I2077+J2077)</f>
        <v>4000000</v>
      </c>
      <c r="L2077" s="27"/>
      <c r="M2077" s="1223"/>
      <c r="N2077" s="61"/>
      <c r="O2077" s="61"/>
    </row>
    <row r="2078" spans="1:15" s="642" customFormat="1" x14ac:dyDescent="0.2">
      <c r="A2078" s="99"/>
      <c r="B2078" s="98"/>
      <c r="C2078" s="99"/>
      <c r="D2078" s="99"/>
      <c r="E2078" s="176"/>
      <c r="F2078" s="42"/>
      <c r="G2078" s="43"/>
      <c r="H2078" s="957" t="s">
        <v>784</v>
      </c>
      <c r="I2078" s="709">
        <f>SUM(I2075:I2077)</f>
        <v>9536000</v>
      </c>
      <c r="J2078" s="709"/>
      <c r="K2078" s="709">
        <f>SUM(K2075:K2077)</f>
        <v>9536000</v>
      </c>
      <c r="L2078" s="27"/>
      <c r="M2078" s="1223"/>
      <c r="N2078" s="61"/>
      <c r="O2078" s="61"/>
    </row>
    <row r="2079" spans="1:15" s="642" customFormat="1" x14ac:dyDescent="0.2">
      <c r="A2079" s="99"/>
      <c r="B2079" s="98"/>
      <c r="C2079" s="99"/>
      <c r="D2079" s="99"/>
      <c r="E2079" s="176"/>
      <c r="F2079" s="1"/>
      <c r="G2079" s="1"/>
      <c r="H2079" s="1163" t="s">
        <v>147</v>
      </c>
      <c r="I2079" s="1164"/>
      <c r="J2079" s="1164"/>
      <c r="K2079" s="1165"/>
      <c r="L2079" s="27"/>
      <c r="M2079" s="1223"/>
      <c r="N2079" s="61"/>
      <c r="O2079" s="61"/>
    </row>
    <row r="2080" spans="1:15" s="642" customFormat="1" x14ac:dyDescent="0.2">
      <c r="A2080" s="99"/>
      <c r="B2080" s="111"/>
      <c r="C2080" s="119"/>
      <c r="D2080" s="99"/>
      <c r="E2080" s="176"/>
      <c r="F2080" s="1"/>
      <c r="G2080" s="38" t="s">
        <v>39</v>
      </c>
      <c r="H2080" s="1166" t="s">
        <v>40</v>
      </c>
      <c r="I2080" s="1167">
        <f>SUM(I2078-I2081-I2082)</f>
        <v>8614400</v>
      </c>
      <c r="J2080" s="1167"/>
      <c r="K2080" s="1167">
        <f>SUM(I2080+J2080)</f>
        <v>8614400</v>
      </c>
      <c r="L2080" s="27"/>
      <c r="M2080" s="1223"/>
      <c r="N2080" s="61"/>
      <c r="O2080" s="61"/>
    </row>
    <row r="2081" spans="1:15" s="642" customFormat="1" x14ac:dyDescent="0.2">
      <c r="A2081" s="99"/>
      <c r="B2081" s="111"/>
      <c r="C2081" s="119"/>
      <c r="D2081" s="94"/>
      <c r="E2081" s="176"/>
      <c r="F2081" s="184"/>
      <c r="G2081" s="293" t="s">
        <v>157</v>
      </c>
      <c r="H2081" s="90" t="s">
        <v>354</v>
      </c>
      <c r="I2081" s="1167">
        <v>276480</v>
      </c>
      <c r="J2081" s="1167"/>
      <c r="K2081" s="1167">
        <f>SUM(I2081:J2081)</f>
        <v>276480</v>
      </c>
      <c r="L2081" s="27"/>
      <c r="M2081" s="1223"/>
      <c r="N2081" s="61"/>
      <c r="O2081" s="61"/>
    </row>
    <row r="2082" spans="1:15" s="642" customFormat="1" x14ac:dyDescent="0.2">
      <c r="A2082" s="99"/>
      <c r="B2082" s="111"/>
      <c r="C2082" s="119"/>
      <c r="D2082" s="94"/>
      <c r="F2082" s="184"/>
      <c r="G2082" s="38" t="s">
        <v>1141</v>
      </c>
      <c r="H2082" s="90" t="s">
        <v>1142</v>
      </c>
      <c r="I2082" s="1167">
        <v>645120</v>
      </c>
      <c r="J2082" s="1167"/>
      <c r="K2082" s="1167">
        <f>SUM(I2082:J2082)</f>
        <v>645120</v>
      </c>
      <c r="L2082" s="27"/>
      <c r="M2082" s="1223"/>
      <c r="N2082" s="61"/>
      <c r="O2082" s="61"/>
    </row>
    <row r="2083" spans="1:15" s="642" customFormat="1" x14ac:dyDescent="0.2">
      <c r="A2083" s="102"/>
      <c r="B2083" s="890"/>
      <c r="C2083" s="116"/>
      <c r="D2083" s="108"/>
      <c r="E2083" s="126"/>
      <c r="F2083" s="475"/>
      <c r="G2083" s="43"/>
      <c r="H2083" s="97" t="s">
        <v>148</v>
      </c>
      <c r="I2083" s="162">
        <f>SUM(I2078)</f>
        <v>9536000</v>
      </c>
      <c r="J2083" s="162"/>
      <c r="K2083" s="162">
        <f>SUM(I2083:J2083)</f>
        <v>9536000</v>
      </c>
      <c r="L2083" s="27"/>
      <c r="M2083" s="1223"/>
      <c r="N2083" s="61"/>
      <c r="O2083" s="61"/>
    </row>
    <row r="2084" spans="1:15" s="642" customFormat="1" x14ac:dyDescent="0.2">
      <c r="A2084" s="102"/>
      <c r="B2084" s="890"/>
      <c r="C2084" s="890">
        <v>421</v>
      </c>
      <c r="D2084" s="126"/>
      <c r="E2084" s="248"/>
      <c r="F2084" s="1"/>
      <c r="G2084" s="38"/>
      <c r="H2084" s="44"/>
      <c r="I2084" s="47"/>
      <c r="J2084" s="47"/>
      <c r="K2084" s="199"/>
      <c r="L2084" s="27"/>
      <c r="M2084" s="1223"/>
      <c r="N2084" s="61"/>
      <c r="O2084" s="61"/>
    </row>
    <row r="2085" spans="1:15" s="642" customFormat="1" x14ac:dyDescent="0.2">
      <c r="A2085" s="102"/>
      <c r="B2085" s="890"/>
      <c r="C2085" s="890"/>
      <c r="D2085" s="126"/>
      <c r="E2085" s="248"/>
      <c r="F2085" s="1"/>
      <c r="G2085" s="38"/>
      <c r="H2085" s="136" t="s">
        <v>294</v>
      </c>
      <c r="I2085" s="180"/>
      <c r="J2085" s="180"/>
      <c r="K2085" s="889"/>
      <c r="L2085" s="27"/>
      <c r="M2085" s="1223"/>
      <c r="N2085" s="61"/>
      <c r="O2085" s="61"/>
    </row>
    <row r="2086" spans="1:15" s="642" customFormat="1" x14ac:dyDescent="0.2">
      <c r="A2086" s="99"/>
      <c r="B2086" s="111"/>
      <c r="C2086" s="119"/>
      <c r="D2086" s="94"/>
      <c r="E2086" s="128" t="s">
        <v>518</v>
      </c>
      <c r="F2086" s="1"/>
      <c r="G2086" s="40"/>
      <c r="H2086" s="137" t="s">
        <v>566</v>
      </c>
      <c r="I2086" s="141"/>
      <c r="J2086" s="141"/>
      <c r="K2086" s="793"/>
      <c r="L2086" s="27"/>
      <c r="M2086" s="1223"/>
      <c r="N2086" s="61"/>
      <c r="O2086" s="61"/>
    </row>
    <row r="2087" spans="1:15" s="642" customFormat="1" x14ac:dyDescent="0.2">
      <c r="A2087" s="101"/>
      <c r="B2087" s="781"/>
      <c r="C2087" s="121"/>
      <c r="D2087" s="101"/>
      <c r="E2087" s="177"/>
      <c r="F2087" s="37"/>
      <c r="G2087" s="28"/>
      <c r="H2087" s="29"/>
      <c r="I2087" s="62"/>
      <c r="J2087" s="62"/>
      <c r="K2087" s="288"/>
      <c r="L2087" s="27"/>
      <c r="M2087" s="1223"/>
      <c r="N2087" s="61"/>
      <c r="O2087" s="61"/>
    </row>
    <row r="2088" spans="1:15" s="642" customFormat="1" x14ac:dyDescent="0.2">
      <c r="A2088" s="99"/>
      <c r="B2088" s="111"/>
      <c r="C2088" s="119"/>
      <c r="D2088" s="99"/>
      <c r="E2088" s="176"/>
      <c r="F2088" s="37"/>
      <c r="G2088" s="30"/>
      <c r="H2088" s="1026" t="s">
        <v>386</v>
      </c>
      <c r="I2088" s="287"/>
      <c r="J2088" s="287"/>
      <c r="K2088" s="894"/>
      <c r="L2088" s="27"/>
      <c r="M2088" s="1223"/>
      <c r="N2088" s="61"/>
      <c r="O2088" s="61"/>
    </row>
    <row r="2089" spans="1:15" s="642" customFormat="1" x14ac:dyDescent="0.2">
      <c r="A2089" s="99"/>
      <c r="B2089" s="111"/>
      <c r="C2089" s="119"/>
      <c r="D2089" s="99"/>
      <c r="E2089" s="176"/>
      <c r="F2089" s="37"/>
      <c r="G2089" s="30"/>
      <c r="H2089" s="29"/>
      <c r="I2089" s="62"/>
      <c r="J2089" s="62"/>
      <c r="K2089" s="288"/>
      <c r="L2089" s="27"/>
      <c r="M2089" s="1223"/>
      <c r="N2089" s="61"/>
      <c r="O2089" s="61"/>
    </row>
    <row r="2090" spans="1:15" s="642" customFormat="1" ht="33.75" x14ac:dyDescent="0.2">
      <c r="A2090" s="99"/>
      <c r="B2090" s="111"/>
      <c r="C2090" s="119"/>
      <c r="D2090" s="99"/>
      <c r="E2090" s="176"/>
      <c r="F2090" s="124">
        <v>375</v>
      </c>
      <c r="G2090" s="95">
        <v>451</v>
      </c>
      <c r="H2090" s="1168" t="s">
        <v>519</v>
      </c>
      <c r="I2090" s="1094">
        <v>28000000</v>
      </c>
      <c r="J2090" s="595"/>
      <c r="K2090" s="595">
        <f>SUM(I2090+J2090)</f>
        <v>28000000</v>
      </c>
      <c r="L2090" s="27"/>
      <c r="M2090" s="1223"/>
      <c r="N2090" s="61"/>
      <c r="O2090" s="61"/>
    </row>
    <row r="2091" spans="1:15" s="642" customFormat="1" x14ac:dyDescent="0.2">
      <c r="A2091" s="101"/>
      <c r="B2091" s="781"/>
      <c r="C2091" s="121"/>
      <c r="D2091" s="101"/>
      <c r="E2091" s="177"/>
      <c r="F2091" s="42"/>
      <c r="G2091" s="43"/>
      <c r="H2091" s="97" t="s">
        <v>785</v>
      </c>
      <c r="I2091" s="162">
        <f>SUM(I2090:I2090)</f>
        <v>28000000</v>
      </c>
      <c r="J2091" s="162"/>
      <c r="K2091" s="162">
        <f>SUM(K2090:K2090)</f>
        <v>28000000</v>
      </c>
      <c r="L2091" s="27"/>
      <c r="M2091" s="1223"/>
      <c r="N2091" s="61"/>
      <c r="O2091" s="61"/>
    </row>
    <row r="2092" spans="1:15" x14ac:dyDescent="0.2">
      <c r="A2092" s="103"/>
      <c r="B2092" s="113"/>
      <c r="C2092" s="122"/>
      <c r="D2092" s="103"/>
      <c r="E2092" s="250"/>
      <c r="F2092" s="1"/>
      <c r="G2092" s="1"/>
      <c r="H2092" s="138" t="s">
        <v>147</v>
      </c>
      <c r="I2092" s="163"/>
      <c r="J2092" s="163"/>
      <c r="K2092" s="164"/>
    </row>
    <row r="2093" spans="1:15" s="642" customFormat="1" x14ac:dyDescent="0.2">
      <c r="A2093" s="99"/>
      <c r="B2093" s="111"/>
      <c r="C2093" s="119"/>
      <c r="D2093" s="99"/>
      <c r="E2093" s="176"/>
      <c r="F2093" s="1"/>
      <c r="G2093" s="38" t="s">
        <v>39</v>
      </c>
      <c r="H2093" s="90" t="s">
        <v>40</v>
      </c>
      <c r="I2093" s="160">
        <f>SUM(I2091-I2094)</f>
        <v>14506660.52</v>
      </c>
      <c r="J2093" s="160"/>
      <c r="K2093" s="160">
        <f>SUM(I2093+J2093)</f>
        <v>14506660.52</v>
      </c>
      <c r="L2093" s="27"/>
      <c r="M2093" s="1223"/>
      <c r="N2093" s="61"/>
      <c r="O2093" s="61"/>
    </row>
    <row r="2094" spans="1:15" s="642" customFormat="1" x14ac:dyDescent="0.2">
      <c r="A2094" s="99"/>
      <c r="B2094" s="111"/>
      <c r="C2094" s="119"/>
      <c r="D2094" s="98"/>
      <c r="E2094" s="1312"/>
      <c r="F2094" s="1"/>
      <c r="G2094" s="38" t="s">
        <v>1141</v>
      </c>
      <c r="H2094" s="90" t="s">
        <v>1142</v>
      </c>
      <c r="I2094" s="160">
        <v>13493339.48</v>
      </c>
      <c r="J2094" s="160"/>
      <c r="K2094" s="160">
        <f>SUM(I2094+J2094)</f>
        <v>13493339.48</v>
      </c>
      <c r="L2094" s="27"/>
      <c r="M2094" s="1223"/>
      <c r="N2094" s="61"/>
      <c r="O2094" s="61"/>
    </row>
    <row r="2095" spans="1:15" s="642" customFormat="1" x14ac:dyDescent="0.2">
      <c r="A2095" s="99"/>
      <c r="B2095" s="111"/>
      <c r="C2095" s="119"/>
      <c r="D2095" s="98"/>
      <c r="E2095" s="128"/>
      <c r="F2095" s="42"/>
      <c r="G2095" s="43"/>
      <c r="H2095" s="97" t="s">
        <v>148</v>
      </c>
      <c r="I2095" s="162">
        <f>SUM(I2091)</f>
        <v>28000000</v>
      </c>
      <c r="J2095" s="162"/>
      <c r="K2095" s="162">
        <f>SUM(I2095:J2095)</f>
        <v>28000000</v>
      </c>
      <c r="L2095" s="27"/>
      <c r="M2095" s="1223"/>
      <c r="N2095" s="61"/>
      <c r="O2095" s="61"/>
    </row>
    <row r="2096" spans="1:15" s="642" customFormat="1" x14ac:dyDescent="0.2">
      <c r="A2096" s="99"/>
      <c r="B2096" s="111"/>
      <c r="C2096" s="890">
        <v>421</v>
      </c>
      <c r="D2096" s="126"/>
      <c r="E2096" s="248"/>
      <c r="F2096" s="46"/>
      <c r="G2096" s="64"/>
      <c r="H2096" s="55"/>
      <c r="I2096" s="59"/>
      <c r="J2096" s="59"/>
      <c r="K2096" s="373"/>
      <c r="L2096" s="27"/>
      <c r="M2096" s="1223"/>
      <c r="N2096" s="61"/>
      <c r="O2096" s="61"/>
    </row>
    <row r="2097" spans="1:15" s="642" customFormat="1" x14ac:dyDescent="0.2">
      <c r="A2097" s="99"/>
      <c r="B2097" s="39"/>
      <c r="C2097" s="125"/>
      <c r="D2097" s="126"/>
      <c r="E2097" s="248"/>
      <c r="F2097" s="1"/>
      <c r="G2097" s="38"/>
      <c r="H2097" s="136" t="s">
        <v>294</v>
      </c>
      <c r="I2097" s="180"/>
      <c r="J2097" s="180"/>
      <c r="K2097" s="889"/>
      <c r="L2097" s="27"/>
      <c r="M2097" s="1223"/>
      <c r="N2097" s="61"/>
      <c r="O2097" s="61"/>
    </row>
    <row r="2098" spans="1:15" s="642" customFormat="1" x14ac:dyDescent="0.2">
      <c r="A2098" s="99"/>
      <c r="B2098" s="98"/>
      <c r="C2098" s="99"/>
      <c r="D2098" s="94"/>
      <c r="E2098" s="128" t="s">
        <v>518</v>
      </c>
      <c r="F2098" s="1"/>
      <c r="G2098" s="40"/>
      <c r="H2098" s="137" t="s">
        <v>566</v>
      </c>
      <c r="I2098" s="141"/>
      <c r="J2098" s="141"/>
      <c r="K2098" s="793"/>
      <c r="L2098" s="27"/>
      <c r="M2098" s="1223"/>
      <c r="N2098" s="61"/>
      <c r="O2098" s="61"/>
    </row>
    <row r="2099" spans="1:15" s="642" customFormat="1" x14ac:dyDescent="0.2">
      <c r="A2099" s="99"/>
      <c r="B2099" s="98"/>
      <c r="C2099" s="99"/>
      <c r="D2099" s="99"/>
      <c r="E2099" s="176"/>
      <c r="F2099" s="1"/>
      <c r="G2099" s="40"/>
      <c r="H2099" s="29"/>
      <c r="I2099" s="62"/>
      <c r="J2099" s="62"/>
      <c r="K2099" s="288"/>
      <c r="L2099" s="27"/>
      <c r="M2099" s="1223"/>
      <c r="N2099" s="61"/>
      <c r="O2099" s="61"/>
    </row>
    <row r="2100" spans="1:15" s="642" customFormat="1" x14ac:dyDescent="0.2">
      <c r="A2100" s="99"/>
      <c r="B2100" s="98"/>
      <c r="C2100" s="99"/>
      <c r="D2100" s="99"/>
      <c r="E2100" s="176"/>
      <c r="F2100" s="37"/>
      <c r="G2100" s="30"/>
      <c r="H2100" s="1026" t="s">
        <v>386</v>
      </c>
      <c r="I2100" s="287"/>
      <c r="J2100" s="287"/>
      <c r="K2100" s="894"/>
      <c r="L2100" s="27"/>
      <c r="M2100" s="1223"/>
      <c r="N2100" s="61"/>
      <c r="O2100" s="61"/>
    </row>
    <row r="2101" spans="1:15" s="642" customFormat="1" x14ac:dyDescent="0.2">
      <c r="A2101" s="99"/>
      <c r="B2101" s="98"/>
      <c r="C2101" s="99"/>
      <c r="D2101" s="99"/>
      <c r="E2101" s="176"/>
      <c r="F2101" s="37"/>
      <c r="G2101" s="30"/>
      <c r="H2101" s="29"/>
      <c r="I2101" s="62"/>
      <c r="J2101" s="62"/>
      <c r="K2101" s="288"/>
      <c r="L2101" s="27"/>
      <c r="M2101" s="1223"/>
      <c r="N2101" s="61"/>
      <c r="O2101" s="61"/>
    </row>
    <row r="2102" spans="1:15" s="642" customFormat="1" ht="22.5" x14ac:dyDescent="0.2">
      <c r="A2102" s="99"/>
      <c r="B2102" s="98"/>
      <c r="C2102" s="99"/>
      <c r="D2102" s="99"/>
      <c r="E2102" s="176"/>
      <c r="F2102" s="95">
        <v>376</v>
      </c>
      <c r="G2102" s="95">
        <v>451</v>
      </c>
      <c r="H2102" s="18" t="s">
        <v>408</v>
      </c>
      <c r="I2102" s="241">
        <v>8326500</v>
      </c>
      <c r="J2102" s="160"/>
      <c r="K2102" s="187">
        <f>SUM(I2102+J2102)</f>
        <v>8326500</v>
      </c>
      <c r="L2102" s="27"/>
      <c r="M2102" s="1223"/>
      <c r="N2102" s="61"/>
      <c r="O2102" s="61"/>
    </row>
    <row r="2103" spans="1:15" s="642" customFormat="1" x14ac:dyDescent="0.2">
      <c r="A2103" s="99"/>
      <c r="B2103" s="98"/>
      <c r="C2103" s="99"/>
      <c r="D2103" s="99"/>
      <c r="E2103" s="176"/>
      <c r="F2103" s="473"/>
      <c r="G2103" s="45" t="s">
        <v>39</v>
      </c>
      <c r="H2103" s="90" t="s">
        <v>40</v>
      </c>
      <c r="I2103" s="160">
        <f>SUM(I2102)</f>
        <v>8326500</v>
      </c>
      <c r="J2103" s="160"/>
      <c r="K2103" s="160">
        <f>SUM(I2103+J2103)</f>
        <v>8326500</v>
      </c>
      <c r="L2103" s="27"/>
      <c r="M2103" s="1223"/>
      <c r="N2103" s="61"/>
      <c r="O2103" s="61"/>
    </row>
    <row r="2104" spans="1:15" x14ac:dyDescent="0.2">
      <c r="A2104" s="381"/>
      <c r="B2104" s="382"/>
      <c r="C2104" s="383"/>
      <c r="D2104" s="385"/>
      <c r="E2104" s="251"/>
      <c r="F2104" s="475"/>
      <c r="G2104" s="43"/>
      <c r="H2104" s="97" t="s">
        <v>785</v>
      </c>
      <c r="I2104" s="162">
        <f>SUM(I2103)</f>
        <v>8326500</v>
      </c>
      <c r="J2104" s="162"/>
      <c r="K2104" s="162">
        <f t="shared" ref="K2104" si="102">SUM(K2103)</f>
        <v>8326500</v>
      </c>
      <c r="L2104" s="361"/>
    </row>
    <row r="2105" spans="1:15" s="642" customFormat="1" x14ac:dyDescent="0.2">
      <c r="A2105" s="99"/>
      <c r="B2105" s="111"/>
      <c r="C2105" s="119"/>
      <c r="D2105" s="99"/>
      <c r="E2105" s="176"/>
      <c r="F2105" s="184"/>
      <c r="G2105" s="1"/>
      <c r="H2105" s="138" t="s">
        <v>147</v>
      </c>
      <c r="I2105" s="163"/>
      <c r="J2105" s="163"/>
      <c r="K2105" s="164"/>
      <c r="L2105" s="27"/>
      <c r="M2105" s="1223"/>
      <c r="N2105" s="61"/>
      <c r="O2105" s="61"/>
    </row>
    <row r="2106" spans="1:15" s="642" customFormat="1" x14ac:dyDescent="0.2">
      <c r="A2106" s="99"/>
      <c r="B2106" s="111"/>
      <c r="C2106" s="119"/>
      <c r="D2106" s="99"/>
      <c r="F2106" s="184"/>
      <c r="G2106" s="38" t="s">
        <v>39</v>
      </c>
      <c r="H2106" s="90" t="s">
        <v>40</v>
      </c>
      <c r="I2106" s="160">
        <f>SUM(I2104)</f>
        <v>8326500</v>
      </c>
      <c r="J2106" s="160"/>
      <c r="K2106" s="160">
        <f>SUM(I2106+J2106)</f>
        <v>8326500</v>
      </c>
      <c r="L2106" s="27"/>
      <c r="M2106" s="1223"/>
      <c r="N2106" s="61"/>
      <c r="O2106" s="61"/>
    </row>
    <row r="2107" spans="1:15" s="642" customFormat="1" x14ac:dyDescent="0.2">
      <c r="A2107" s="99"/>
      <c r="B2107" s="111"/>
      <c r="C2107" s="119"/>
      <c r="D2107" s="99"/>
      <c r="E2107" s="128"/>
      <c r="F2107" s="475"/>
      <c r="G2107" s="43"/>
      <c r="H2107" s="97" t="s">
        <v>148</v>
      </c>
      <c r="I2107" s="162">
        <f>SUM(I2106)</f>
        <v>8326500</v>
      </c>
      <c r="J2107" s="162"/>
      <c r="K2107" s="162">
        <f t="shared" ref="K2107" si="103">SUM(K2106)</f>
        <v>8326500</v>
      </c>
      <c r="L2107" s="27"/>
      <c r="M2107" s="1223"/>
      <c r="N2107" s="61"/>
      <c r="O2107" s="61"/>
    </row>
    <row r="2108" spans="1:15" s="896" customFormat="1" x14ac:dyDescent="0.2">
      <c r="A2108" s="99"/>
      <c r="B2108" s="111"/>
      <c r="C2108" s="890">
        <v>560</v>
      </c>
      <c r="D2108" s="108"/>
      <c r="E2108" s="248"/>
      <c r="F2108" s="54"/>
      <c r="G2108" s="54"/>
      <c r="H2108" s="347"/>
      <c r="I2108" s="231"/>
      <c r="J2108" s="231"/>
      <c r="K2108" s="409"/>
      <c r="L2108" s="27"/>
      <c r="M2108" s="1225"/>
      <c r="N2108" s="895"/>
      <c r="O2108" s="895"/>
    </row>
    <row r="2109" spans="1:15" s="642" customFormat="1" x14ac:dyDescent="0.2">
      <c r="A2109" s="99"/>
      <c r="B2109" s="111"/>
      <c r="C2109" s="119"/>
      <c r="D2109" s="94"/>
      <c r="E2109" s="176"/>
      <c r="F2109" s="1"/>
      <c r="G2109" s="38"/>
      <c r="H2109" s="136" t="s">
        <v>334</v>
      </c>
      <c r="I2109" s="180"/>
      <c r="J2109" s="180"/>
      <c r="K2109" s="889"/>
      <c r="L2109" s="27"/>
      <c r="M2109" s="1223"/>
      <c r="N2109" s="61"/>
      <c r="O2109" s="61"/>
    </row>
    <row r="2110" spans="1:15" s="642" customFormat="1" ht="22.5" x14ac:dyDescent="0.2">
      <c r="A2110" s="99"/>
      <c r="B2110" s="111"/>
      <c r="C2110" s="119"/>
      <c r="D2110" s="94"/>
      <c r="E2110" s="128" t="s">
        <v>315</v>
      </c>
      <c r="F2110" s="1"/>
      <c r="G2110" s="40"/>
      <c r="H2110" s="913" t="s">
        <v>565</v>
      </c>
      <c r="I2110" s="141"/>
      <c r="J2110" s="141"/>
      <c r="K2110" s="793"/>
      <c r="L2110" s="27"/>
      <c r="M2110" s="1223"/>
      <c r="N2110" s="61"/>
      <c r="O2110" s="61"/>
    </row>
    <row r="2111" spans="1:15" s="642" customFormat="1" x14ac:dyDescent="0.2">
      <c r="A2111" s="100"/>
      <c r="B2111" s="787"/>
      <c r="C2111" s="120"/>
      <c r="D2111" s="100"/>
      <c r="E2111" s="246"/>
      <c r="F2111" s="1"/>
      <c r="G2111" s="40"/>
      <c r="H2111" s="29"/>
      <c r="I2111" s="62"/>
      <c r="J2111" s="62"/>
      <c r="K2111" s="288"/>
      <c r="L2111" s="27"/>
      <c r="M2111" s="1223"/>
      <c r="N2111" s="61"/>
      <c r="O2111" s="61"/>
    </row>
    <row r="2112" spans="1:15" s="642" customFormat="1" x14ac:dyDescent="0.2">
      <c r="A2112" s="99"/>
      <c r="B2112" s="111"/>
      <c r="C2112" s="119"/>
      <c r="D2112" s="99"/>
      <c r="E2112" s="176"/>
      <c r="F2112" s="37"/>
      <c r="G2112" s="37"/>
      <c r="H2112" s="1026" t="s">
        <v>389</v>
      </c>
      <c r="I2112" s="287"/>
      <c r="J2112" s="287"/>
      <c r="K2112" s="894"/>
      <c r="L2112" s="27"/>
      <c r="M2112" s="1223"/>
      <c r="N2112" s="61"/>
      <c r="O2112" s="61"/>
    </row>
    <row r="2113" spans="1:15" s="642" customFormat="1" x14ac:dyDescent="0.2">
      <c r="A2113" s="101"/>
      <c r="B2113" s="781"/>
      <c r="C2113" s="121"/>
      <c r="D2113" s="101"/>
      <c r="E2113" s="177"/>
      <c r="F2113" s="124">
        <v>377</v>
      </c>
      <c r="G2113" s="95">
        <v>482</v>
      </c>
      <c r="H2113" s="1169" t="s">
        <v>529</v>
      </c>
      <c r="I2113" s="595">
        <v>6500000</v>
      </c>
      <c r="J2113" s="595"/>
      <c r="K2113" s="595">
        <f>SUM(I2113+J2113)</f>
        <v>6500000</v>
      </c>
      <c r="L2113" s="27"/>
      <c r="M2113" s="1223"/>
      <c r="N2113" s="61"/>
      <c r="O2113" s="61"/>
    </row>
    <row r="2114" spans="1:15" s="642" customFormat="1" x14ac:dyDescent="0.2">
      <c r="A2114" s="102"/>
      <c r="B2114" s="890"/>
      <c r="C2114" s="116"/>
      <c r="D2114" s="108"/>
      <c r="E2114" s="248"/>
      <c r="F2114" s="1"/>
      <c r="G2114" s="1"/>
      <c r="H2114" s="927" t="s">
        <v>784</v>
      </c>
      <c r="I2114" s="928">
        <f>SUM(I2113)</f>
        <v>6500000</v>
      </c>
      <c r="J2114" s="928"/>
      <c r="K2114" s="928">
        <f t="shared" ref="K2114" si="104">SUM(K2113)</f>
        <v>6500000</v>
      </c>
      <c r="L2114" s="891"/>
      <c r="M2114" s="1223"/>
      <c r="N2114" s="61"/>
      <c r="O2114" s="61"/>
    </row>
    <row r="2115" spans="1:15" s="642" customFormat="1" x14ac:dyDescent="0.2">
      <c r="A2115" s="102"/>
      <c r="B2115" s="890"/>
      <c r="C2115" s="890">
        <v>421</v>
      </c>
      <c r="D2115" s="126"/>
      <c r="E2115" s="248"/>
      <c r="F2115" s="41"/>
      <c r="G2115" s="41"/>
      <c r="H2115" s="138" t="s">
        <v>159</v>
      </c>
      <c r="I2115" s="163"/>
      <c r="J2115" s="163"/>
      <c r="K2115" s="164"/>
      <c r="L2115" s="891"/>
      <c r="M2115" s="1223"/>
      <c r="N2115" s="61"/>
      <c r="O2115" s="61"/>
    </row>
    <row r="2116" spans="1:15" s="642" customFormat="1" x14ac:dyDescent="0.2">
      <c r="A2116" s="94"/>
      <c r="B2116" s="111"/>
      <c r="C2116" s="119"/>
      <c r="D2116" s="94"/>
      <c r="E2116" s="1312"/>
      <c r="F2116" s="1"/>
      <c r="G2116" s="38" t="s">
        <v>39</v>
      </c>
      <c r="H2116" s="90" t="s">
        <v>40</v>
      </c>
      <c r="I2116" s="160">
        <f>SUM(I2114)</f>
        <v>6500000</v>
      </c>
      <c r="J2116" s="160"/>
      <c r="K2116" s="160">
        <f>SUM(I2116+J2116)</f>
        <v>6500000</v>
      </c>
      <c r="L2116" s="27"/>
      <c r="M2116" s="1223"/>
      <c r="N2116" s="61"/>
      <c r="O2116" s="61"/>
    </row>
    <row r="2117" spans="1:15" s="642" customFormat="1" x14ac:dyDescent="0.2">
      <c r="A2117" s="94"/>
      <c r="B2117" s="890"/>
      <c r="C2117" s="214"/>
      <c r="D2117" s="108"/>
      <c r="E2117" s="176"/>
      <c r="F2117" s="42"/>
      <c r="G2117" s="43"/>
      <c r="H2117" s="97" t="s">
        <v>160</v>
      </c>
      <c r="I2117" s="162">
        <f>SUM(I2116)</f>
        <v>6500000</v>
      </c>
      <c r="J2117" s="162"/>
      <c r="K2117" s="162">
        <f t="shared" ref="K2117" si="105">SUM(K2116)</f>
        <v>6500000</v>
      </c>
      <c r="L2117" s="27"/>
      <c r="M2117" s="1223"/>
      <c r="N2117" s="61"/>
      <c r="O2117" s="61"/>
    </row>
    <row r="2118" spans="1:15" s="896" customFormat="1" x14ac:dyDescent="0.2">
      <c r="A2118" s="94"/>
      <c r="B2118" s="111"/>
      <c r="C2118" s="119"/>
      <c r="D2118" s="94"/>
      <c r="E2118" s="176"/>
      <c r="F2118" s="37"/>
      <c r="G2118" s="37"/>
      <c r="H2118" s="452"/>
      <c r="I2118" s="481"/>
      <c r="J2118" s="481"/>
      <c r="K2118" s="1170"/>
      <c r="L2118" s="27"/>
      <c r="M2118" s="1225"/>
      <c r="N2118" s="895"/>
      <c r="O2118" s="895"/>
    </row>
    <row r="2119" spans="1:15" s="896" customFormat="1" x14ac:dyDescent="0.2">
      <c r="A2119" s="94"/>
      <c r="B2119" s="111"/>
      <c r="C2119" s="119"/>
      <c r="D2119" s="94"/>
      <c r="E2119" s="176"/>
      <c r="F2119" s="37"/>
      <c r="G2119" s="30"/>
      <c r="H2119" s="1026" t="s">
        <v>386</v>
      </c>
      <c r="I2119" s="527"/>
      <c r="J2119" s="527"/>
      <c r="K2119" s="1171"/>
      <c r="L2119" s="27"/>
      <c r="M2119" s="1225"/>
      <c r="N2119" s="895"/>
      <c r="O2119" s="895"/>
    </row>
    <row r="2120" spans="1:15" s="642" customFormat="1" x14ac:dyDescent="0.2">
      <c r="A2120" s="88"/>
      <c r="B2120" s="922"/>
      <c r="C2120" s="124"/>
      <c r="D2120" s="95"/>
      <c r="E2120" s="154"/>
      <c r="F2120" s="1"/>
      <c r="G2120" s="1"/>
      <c r="H2120" s="44"/>
      <c r="I2120" s="47"/>
      <c r="J2120" s="47"/>
      <c r="K2120" s="199"/>
      <c r="L2120" s="27"/>
      <c r="M2120" s="1223"/>
      <c r="N2120" s="61"/>
      <c r="O2120" s="61"/>
    </row>
    <row r="2121" spans="1:15" s="642" customFormat="1" ht="22.5" x14ac:dyDescent="0.2">
      <c r="A2121" s="919"/>
      <c r="B2121" s="787"/>
      <c r="C2121" s="120"/>
      <c r="D2121" s="100"/>
      <c r="E2121" s="126" t="s">
        <v>314</v>
      </c>
      <c r="F2121" s="1"/>
      <c r="G2121" s="1"/>
      <c r="H2121" s="166" t="s">
        <v>837</v>
      </c>
      <c r="I2121" s="156"/>
      <c r="J2121" s="156"/>
      <c r="K2121" s="157"/>
      <c r="L2121" s="27"/>
      <c r="M2121" s="1223"/>
      <c r="N2121" s="61"/>
      <c r="O2121" s="61"/>
    </row>
    <row r="2122" spans="1:15" s="642" customFormat="1" x14ac:dyDescent="0.2">
      <c r="A2122" s="583"/>
      <c r="B2122" s="781"/>
      <c r="C2122" s="121"/>
      <c r="D2122" s="101"/>
      <c r="E2122" s="177"/>
      <c r="F2122" s="124">
        <v>378</v>
      </c>
      <c r="G2122" s="95">
        <v>424</v>
      </c>
      <c r="H2122" s="89" t="s">
        <v>231</v>
      </c>
      <c r="I2122" s="241">
        <v>64000000</v>
      </c>
      <c r="J2122" s="160"/>
      <c r="K2122" s="160">
        <f>SUM(I2122+J2122)</f>
        <v>64000000</v>
      </c>
      <c r="L2122" s="27"/>
      <c r="M2122" s="1223"/>
      <c r="N2122" s="61"/>
      <c r="O2122" s="61"/>
    </row>
    <row r="2123" spans="1:15" s="642" customFormat="1" x14ac:dyDescent="0.2">
      <c r="A2123" s="94"/>
      <c r="B2123" s="111"/>
      <c r="C2123" s="119"/>
      <c r="D2123" s="94"/>
      <c r="E2123" s="1313"/>
      <c r="F2123" s="473"/>
      <c r="G2123" s="120"/>
      <c r="H2123" s="152" t="s">
        <v>350</v>
      </c>
      <c r="I2123" s="161">
        <f>SUM(I2122)</f>
        <v>64000000</v>
      </c>
      <c r="J2123" s="160"/>
      <c r="K2123" s="178">
        <f>SUM(K2122:K2122)</f>
        <v>64000000</v>
      </c>
      <c r="L2123" s="27"/>
      <c r="M2123" s="1223"/>
      <c r="N2123" s="61"/>
      <c r="O2123" s="61"/>
    </row>
    <row r="2124" spans="1:15" s="642" customFormat="1" x14ac:dyDescent="0.2">
      <c r="A2124" s="94"/>
      <c r="B2124" s="890"/>
      <c r="C2124" s="214"/>
      <c r="D2124" s="108"/>
      <c r="E2124" s="965"/>
      <c r="F2124" s="475"/>
      <c r="G2124" s="983" t="s">
        <v>1141</v>
      </c>
      <c r="H2124" s="90" t="s">
        <v>1142</v>
      </c>
      <c r="I2124" s="241">
        <f>SUM(I2123)-I2125</f>
        <v>39000000</v>
      </c>
      <c r="J2124" s="161"/>
      <c r="K2124" s="160">
        <f>SUM(I2124+J2124)</f>
        <v>39000000</v>
      </c>
      <c r="L2124" s="27"/>
      <c r="M2124" s="1223"/>
      <c r="N2124" s="61"/>
      <c r="O2124" s="61"/>
    </row>
    <row r="2125" spans="1:15" s="642" customFormat="1" x14ac:dyDescent="0.2">
      <c r="A2125" s="94"/>
      <c r="B2125" s="890"/>
      <c r="C2125" s="214"/>
      <c r="D2125" s="108"/>
      <c r="E2125" s="176"/>
      <c r="F2125" s="1"/>
      <c r="G2125" s="38" t="s">
        <v>157</v>
      </c>
      <c r="H2125" s="90" t="s">
        <v>354</v>
      </c>
      <c r="I2125" s="241">
        <v>25000000</v>
      </c>
      <c r="J2125" s="161"/>
      <c r="K2125" s="160">
        <f>SUM(I2125+J2125)</f>
        <v>25000000</v>
      </c>
      <c r="L2125" s="27"/>
      <c r="M2125" s="1223"/>
      <c r="N2125" s="61"/>
      <c r="O2125" s="61"/>
    </row>
    <row r="2126" spans="1:15" s="642" customFormat="1" x14ac:dyDescent="0.2">
      <c r="A2126" s="94"/>
      <c r="B2126" s="890"/>
      <c r="C2126" s="214"/>
      <c r="D2126" s="108"/>
      <c r="E2126" s="176"/>
      <c r="F2126" s="42"/>
      <c r="G2126" s="42"/>
      <c r="H2126" s="97" t="s">
        <v>350</v>
      </c>
      <c r="I2126" s="162">
        <f>SUM(I2124:I2125)</f>
        <v>64000000</v>
      </c>
      <c r="J2126" s="162"/>
      <c r="K2126" s="162">
        <f>SUM(I2126:J2126)</f>
        <v>64000000</v>
      </c>
      <c r="L2126" s="27"/>
      <c r="M2126" s="1223"/>
      <c r="N2126" s="61"/>
      <c r="O2126" s="61"/>
    </row>
    <row r="2127" spans="1:15" s="642" customFormat="1" x14ac:dyDescent="0.2">
      <c r="A2127" s="94"/>
      <c r="B2127" s="111"/>
      <c r="C2127" s="119"/>
      <c r="D2127" s="94"/>
      <c r="E2127" s="176"/>
      <c r="F2127" s="1"/>
      <c r="G2127" s="1"/>
      <c r="H2127" s="21"/>
      <c r="I2127" s="47"/>
      <c r="J2127" s="48"/>
      <c r="K2127" s="205"/>
      <c r="L2127" s="27"/>
      <c r="M2127" s="1223"/>
      <c r="N2127" s="61"/>
      <c r="O2127" s="61"/>
    </row>
    <row r="2128" spans="1:15" s="642" customFormat="1" ht="22.5" x14ac:dyDescent="0.2">
      <c r="A2128" s="94"/>
      <c r="B2128" s="781"/>
      <c r="C2128" s="121"/>
      <c r="D2128" s="583"/>
      <c r="E2128" s="126" t="s">
        <v>314</v>
      </c>
      <c r="F2128" s="1"/>
      <c r="G2128" s="1"/>
      <c r="H2128" s="166" t="s">
        <v>838</v>
      </c>
      <c r="I2128" s="156"/>
      <c r="J2128" s="156"/>
      <c r="K2128" s="157"/>
      <c r="L2128" s="27"/>
      <c r="M2128" s="1223"/>
      <c r="N2128" s="61"/>
      <c r="O2128" s="61"/>
    </row>
    <row r="2129" spans="1:15" s="642" customFormat="1" x14ac:dyDescent="0.2">
      <c r="A2129" s="919"/>
      <c r="B2129" s="787"/>
      <c r="C2129" s="120"/>
      <c r="D2129" s="100"/>
      <c r="E2129" s="246"/>
      <c r="F2129" s="95">
        <v>379</v>
      </c>
      <c r="G2129" s="95">
        <v>424</v>
      </c>
      <c r="H2129" s="1172" t="s">
        <v>520</v>
      </c>
      <c r="I2129" s="187">
        <v>1000000</v>
      </c>
      <c r="J2129" s="188"/>
      <c r="K2129" s="187">
        <f>SUM(I2129:J2129)</f>
        <v>1000000</v>
      </c>
      <c r="L2129" s="27"/>
      <c r="M2129" s="1223"/>
      <c r="N2129" s="61"/>
      <c r="O2129" s="61"/>
    </row>
    <row r="2130" spans="1:15" s="642" customFormat="1" x14ac:dyDescent="0.2">
      <c r="A2130" s="94"/>
      <c r="B2130" s="111"/>
      <c r="C2130" s="119"/>
      <c r="D2130" s="99"/>
      <c r="E2130" s="176"/>
      <c r="F2130" s="124">
        <v>380</v>
      </c>
      <c r="G2130" s="95">
        <v>511</v>
      </c>
      <c r="H2130" s="90" t="s">
        <v>20</v>
      </c>
      <c r="I2130" s="187">
        <v>400000</v>
      </c>
      <c r="J2130" s="188"/>
      <c r="K2130" s="187">
        <f>SUM(I2130:J2130)</f>
        <v>400000</v>
      </c>
      <c r="L2130" s="27"/>
      <c r="M2130" s="1223"/>
      <c r="N2130" s="61"/>
      <c r="O2130" s="61"/>
    </row>
    <row r="2131" spans="1:15" s="642" customFormat="1" x14ac:dyDescent="0.2">
      <c r="A2131" s="583"/>
      <c r="B2131" s="781"/>
      <c r="C2131" s="121"/>
      <c r="D2131" s="101"/>
      <c r="E2131" s="177"/>
      <c r="F2131" s="124">
        <v>381</v>
      </c>
      <c r="G2131" s="95">
        <v>541</v>
      </c>
      <c r="H2131" s="90" t="s">
        <v>25</v>
      </c>
      <c r="I2131" s="241">
        <v>34000000</v>
      </c>
      <c r="J2131" s="160"/>
      <c r="K2131" s="160">
        <f>SUM(I2131+J2131)</f>
        <v>34000000</v>
      </c>
      <c r="L2131" s="27"/>
      <c r="M2131" s="1223"/>
      <c r="N2131" s="61"/>
      <c r="O2131" s="61"/>
    </row>
    <row r="2132" spans="1:15" s="642" customFormat="1" x14ac:dyDescent="0.2">
      <c r="A2132" s="917"/>
      <c r="B2132" s="789"/>
      <c r="C2132" s="790"/>
      <c r="D2132" s="788"/>
      <c r="E2132" s="767"/>
      <c r="F2132" s="42"/>
      <c r="G2132" s="42"/>
      <c r="H2132" s="153" t="s">
        <v>351</v>
      </c>
      <c r="I2132" s="162">
        <f>SUM(I2129:I2131)</f>
        <v>35400000</v>
      </c>
      <c r="J2132" s="192"/>
      <c r="K2132" s="179">
        <f>SUM(K2131:K2131)</f>
        <v>34000000</v>
      </c>
      <c r="L2132" s="887"/>
      <c r="M2132" s="1223"/>
      <c r="N2132" s="61"/>
      <c r="O2132" s="61"/>
    </row>
    <row r="2133" spans="1:15" s="642" customFormat="1" x14ac:dyDescent="0.2">
      <c r="A2133" s="94"/>
      <c r="B2133" s="890"/>
      <c r="C2133" s="214"/>
      <c r="D2133" s="108"/>
      <c r="E2133" s="176"/>
      <c r="F2133" s="41"/>
      <c r="G2133" s="38" t="s">
        <v>1141</v>
      </c>
      <c r="H2133" s="90" t="s">
        <v>1142</v>
      </c>
      <c r="I2133" s="241">
        <f>SUM(I2132-I2134)</f>
        <v>35399000</v>
      </c>
      <c r="J2133" s="161"/>
      <c r="K2133" s="160">
        <f>SUM(I2133+J2133)</f>
        <v>35399000</v>
      </c>
      <c r="L2133" s="27"/>
      <c r="M2133" s="1223"/>
      <c r="N2133" s="61"/>
      <c r="O2133" s="61"/>
    </row>
    <row r="2134" spans="1:15" s="642" customFormat="1" x14ac:dyDescent="0.2">
      <c r="A2134" s="94"/>
      <c r="B2134" s="111"/>
      <c r="C2134" s="119"/>
      <c r="D2134" s="94"/>
      <c r="E2134" s="176"/>
      <c r="F2134" s="1"/>
      <c r="G2134" s="38" t="s">
        <v>157</v>
      </c>
      <c r="H2134" s="90" t="s">
        <v>354</v>
      </c>
      <c r="I2134" s="241">
        <v>1000</v>
      </c>
      <c r="J2134" s="161"/>
      <c r="K2134" s="160">
        <f>SUM(I2134+J2134)</f>
        <v>1000</v>
      </c>
      <c r="L2134" s="27"/>
      <c r="M2134" s="1223"/>
      <c r="N2134" s="61"/>
      <c r="O2134" s="61"/>
    </row>
    <row r="2135" spans="1:15" s="642" customFormat="1" x14ac:dyDescent="0.2">
      <c r="A2135" s="94"/>
      <c r="B2135" s="111"/>
      <c r="C2135" s="119"/>
      <c r="D2135" s="94"/>
      <c r="E2135" s="176"/>
      <c r="F2135" s="42"/>
      <c r="G2135" s="42"/>
      <c r="H2135" s="97" t="s">
        <v>351</v>
      </c>
      <c r="I2135" s="162">
        <f>SUM(I2133:I2134)</f>
        <v>35400000</v>
      </c>
      <c r="J2135" s="162"/>
      <c r="K2135" s="162">
        <f>SUM(I2135:J2135)</f>
        <v>35400000</v>
      </c>
      <c r="L2135" s="27"/>
      <c r="M2135" s="1223"/>
      <c r="N2135" s="61"/>
      <c r="O2135" s="61"/>
    </row>
    <row r="2136" spans="1:15" s="893" customFormat="1" x14ac:dyDescent="0.2">
      <c r="A2136" s="94"/>
      <c r="B2136" s="781"/>
      <c r="C2136" s="121"/>
      <c r="D2136" s="583"/>
      <c r="E2136" s="177"/>
      <c r="F2136" s="134"/>
      <c r="G2136" s="134"/>
      <c r="H2136" s="144"/>
      <c r="I2136" s="149"/>
      <c r="J2136" s="149"/>
      <c r="K2136" s="198"/>
      <c r="L2136" s="27"/>
      <c r="M2136" s="1224"/>
      <c r="N2136" s="892"/>
      <c r="O2136" s="892"/>
    </row>
    <row r="2137" spans="1:15" s="642" customFormat="1" x14ac:dyDescent="0.2">
      <c r="A2137" s="919"/>
      <c r="B2137" s="111"/>
      <c r="C2137" s="119"/>
      <c r="D2137" s="99"/>
      <c r="E2137" s="128" t="s">
        <v>314</v>
      </c>
      <c r="F2137" s="1"/>
      <c r="G2137" s="1"/>
      <c r="H2137" s="166" t="s">
        <v>738</v>
      </c>
      <c r="I2137" s="156"/>
      <c r="J2137" s="189"/>
      <c r="K2137" s="1102"/>
      <c r="L2137" s="27"/>
      <c r="M2137" s="1223"/>
      <c r="N2137" s="61"/>
      <c r="O2137" s="61"/>
    </row>
    <row r="2138" spans="1:15" s="642" customFormat="1" x14ac:dyDescent="0.2">
      <c r="A2138" s="583"/>
      <c r="B2138" s="781"/>
      <c r="C2138" s="121"/>
      <c r="D2138" s="101"/>
      <c r="E2138" s="177"/>
      <c r="F2138" s="124">
        <v>382</v>
      </c>
      <c r="G2138" s="95">
        <v>426</v>
      </c>
      <c r="H2138" s="89" t="s">
        <v>36</v>
      </c>
      <c r="I2138" s="160">
        <v>3000000</v>
      </c>
      <c r="J2138" s="160"/>
      <c r="K2138" s="160">
        <f>SUM(I2138+J2138)</f>
        <v>3000000</v>
      </c>
      <c r="L2138" s="27"/>
      <c r="M2138" s="1223"/>
      <c r="N2138" s="61"/>
      <c r="O2138" s="61"/>
    </row>
    <row r="2139" spans="1:15" x14ac:dyDescent="0.2">
      <c r="A2139" s="106"/>
      <c r="B2139" s="113"/>
      <c r="C2139" s="122"/>
      <c r="D2139" s="103"/>
      <c r="E2139" s="250"/>
      <c r="F2139" s="124">
        <v>383</v>
      </c>
      <c r="G2139" s="95">
        <v>512</v>
      </c>
      <c r="H2139" s="89" t="s">
        <v>21</v>
      </c>
      <c r="I2139" s="160">
        <v>17000000</v>
      </c>
      <c r="J2139" s="160"/>
      <c r="K2139" s="160">
        <f>SUM(I2139+J2139)</f>
        <v>17000000</v>
      </c>
    </row>
    <row r="2140" spans="1:15" s="642" customFormat="1" x14ac:dyDescent="0.2">
      <c r="A2140" s="94"/>
      <c r="B2140" s="111"/>
      <c r="C2140" s="119"/>
      <c r="D2140" s="94"/>
      <c r="E2140" s="126"/>
      <c r="F2140" s="42"/>
      <c r="G2140" s="42"/>
      <c r="H2140" s="153" t="s">
        <v>385</v>
      </c>
      <c r="I2140" s="162">
        <f>SUM(I2138:I2139)</f>
        <v>20000000</v>
      </c>
      <c r="J2140" s="192"/>
      <c r="K2140" s="179">
        <f>SUM(K2138:K2139)</f>
        <v>20000000</v>
      </c>
      <c r="L2140" s="27"/>
      <c r="M2140" s="1223"/>
      <c r="N2140" s="61"/>
      <c r="O2140" s="61"/>
    </row>
    <row r="2141" spans="1:15" s="642" customFormat="1" x14ac:dyDescent="0.2">
      <c r="A2141" s="94"/>
      <c r="B2141" s="890"/>
      <c r="C2141" s="214"/>
      <c r="D2141" s="108"/>
      <c r="E2141" s="176"/>
      <c r="F2141" s="1"/>
      <c r="G2141" s="38" t="s">
        <v>1141</v>
      </c>
      <c r="H2141" s="90" t="s">
        <v>1142</v>
      </c>
      <c r="I2141" s="241">
        <f>SUM(I2140)</f>
        <v>20000000</v>
      </c>
      <c r="J2141" s="161"/>
      <c r="K2141" s="160">
        <f>SUM(I2141+J2141)</f>
        <v>20000000</v>
      </c>
      <c r="L2141" s="27"/>
      <c r="M2141" s="1223"/>
      <c r="N2141" s="61"/>
      <c r="O2141" s="61"/>
    </row>
    <row r="2142" spans="1:15" s="642" customFormat="1" x14ac:dyDescent="0.2">
      <c r="A2142" s="94"/>
      <c r="B2142" s="111"/>
      <c r="C2142" s="119"/>
      <c r="D2142" s="94"/>
      <c r="E2142" s="176"/>
      <c r="F2142" s="42"/>
      <c r="G2142" s="42"/>
      <c r="H2142" s="97" t="s">
        <v>385</v>
      </c>
      <c r="I2142" s="162">
        <f>SUM(I2141:I2141)</f>
        <v>20000000</v>
      </c>
      <c r="J2142" s="162"/>
      <c r="K2142" s="162">
        <f>SUM(I2142:J2142)</f>
        <v>20000000</v>
      </c>
      <c r="L2142" s="27"/>
      <c r="M2142" s="1223"/>
      <c r="N2142" s="61"/>
      <c r="O2142" s="61"/>
    </row>
    <row r="2143" spans="1:15" s="642" customFormat="1" x14ac:dyDescent="0.2">
      <c r="A2143" s="94"/>
      <c r="B2143" s="781"/>
      <c r="C2143" s="121"/>
      <c r="D2143" s="583"/>
      <c r="E2143" s="177"/>
      <c r="F2143" s="46"/>
      <c r="G2143" s="46"/>
      <c r="H2143" s="55"/>
      <c r="I2143" s="63"/>
      <c r="J2143" s="63"/>
      <c r="K2143" s="202"/>
      <c r="L2143" s="27"/>
      <c r="M2143" s="1223"/>
      <c r="N2143" s="61"/>
      <c r="O2143" s="61"/>
    </row>
    <row r="2144" spans="1:15" s="642" customFormat="1" x14ac:dyDescent="0.2">
      <c r="A2144" s="94"/>
      <c r="B2144" s="111"/>
      <c r="C2144" s="119"/>
      <c r="D2144" s="94"/>
      <c r="E2144" s="176"/>
      <c r="F2144" s="1"/>
      <c r="G2144" s="1"/>
      <c r="H2144" s="21"/>
      <c r="I2144" s="47"/>
      <c r="J2144" s="48"/>
      <c r="K2144" s="205"/>
      <c r="L2144" s="27"/>
      <c r="M2144" s="1223"/>
      <c r="N2144" s="61"/>
      <c r="O2144" s="61"/>
    </row>
    <row r="2145" spans="1:15" s="642" customFormat="1" ht="22.5" x14ac:dyDescent="0.2">
      <c r="A2145" s="583"/>
      <c r="B2145" s="781"/>
      <c r="C2145" s="121"/>
      <c r="D2145" s="101"/>
      <c r="E2145" s="249" t="s">
        <v>314</v>
      </c>
      <c r="F2145" s="1"/>
      <c r="G2145" s="1"/>
      <c r="H2145" s="166" t="s">
        <v>739</v>
      </c>
      <c r="I2145" s="156"/>
      <c r="J2145" s="156"/>
      <c r="K2145" s="157"/>
      <c r="L2145" s="27"/>
      <c r="M2145" s="1223"/>
      <c r="N2145" s="61"/>
      <c r="O2145" s="61"/>
    </row>
    <row r="2146" spans="1:15" x14ac:dyDescent="0.2">
      <c r="A2146" s="106"/>
      <c r="B2146" s="113"/>
      <c r="C2146" s="122"/>
      <c r="D2146" s="103"/>
      <c r="E2146" s="126"/>
      <c r="F2146" s="124">
        <v>384</v>
      </c>
      <c r="G2146" s="95">
        <v>424</v>
      </c>
      <c r="H2146" s="89" t="s">
        <v>10</v>
      </c>
      <c r="I2146" s="160">
        <v>6000000</v>
      </c>
      <c r="J2146" s="160"/>
      <c r="K2146" s="160">
        <f>SUM(I2146+J2146)</f>
        <v>6000000</v>
      </c>
      <c r="L2146" s="298"/>
    </row>
    <row r="2147" spans="1:15" x14ac:dyDescent="0.2">
      <c r="A2147" s="106"/>
      <c r="B2147" s="113"/>
      <c r="C2147" s="122"/>
      <c r="D2147" s="103"/>
      <c r="E2147" s="250"/>
      <c r="F2147" s="42"/>
      <c r="G2147" s="42"/>
      <c r="H2147" s="152" t="s">
        <v>712</v>
      </c>
      <c r="I2147" s="161">
        <f>SUM(I2146:I2146)</f>
        <v>6000000</v>
      </c>
      <c r="J2147" s="160"/>
      <c r="K2147" s="178">
        <f>SUM(K2146:K2146)</f>
        <v>6000000</v>
      </c>
    </row>
    <row r="2148" spans="1:15" x14ac:dyDescent="0.2">
      <c r="A2148" s="106"/>
      <c r="B2148" s="113"/>
      <c r="C2148" s="122"/>
      <c r="D2148" s="103"/>
      <c r="E2148" s="250"/>
      <c r="F2148" s="1"/>
      <c r="G2148" s="38" t="s">
        <v>1141</v>
      </c>
      <c r="H2148" s="90" t="s">
        <v>1142</v>
      </c>
      <c r="I2148" s="241">
        <f>SUM(I2147)</f>
        <v>6000000</v>
      </c>
      <c r="J2148" s="161"/>
      <c r="K2148" s="160">
        <f>SUM(I2148+J2148)</f>
        <v>6000000</v>
      </c>
    </row>
    <row r="2149" spans="1:15" x14ac:dyDescent="0.2">
      <c r="A2149" s="106"/>
      <c r="B2149" s="113"/>
      <c r="C2149" s="122"/>
      <c r="D2149" s="103"/>
      <c r="E2149" s="253"/>
      <c r="F2149" s="42"/>
      <c r="G2149" s="42"/>
      <c r="H2149" s="97" t="s">
        <v>712</v>
      </c>
      <c r="I2149" s="162">
        <f>SUM(I2148:I2148)</f>
        <v>6000000</v>
      </c>
      <c r="J2149" s="162"/>
      <c r="K2149" s="162">
        <f>SUM(K2148:K2148)</f>
        <v>6000000</v>
      </c>
    </row>
    <row r="2150" spans="1:15" x14ac:dyDescent="0.2">
      <c r="A2150" s="106"/>
      <c r="B2150" s="113"/>
      <c r="C2150" s="122"/>
      <c r="D2150" s="103"/>
      <c r="E2150" s="250"/>
      <c r="F2150" s="46"/>
      <c r="G2150" s="46"/>
      <c r="H2150" s="438"/>
      <c r="I2150" s="63"/>
      <c r="J2150" s="298"/>
      <c r="K2150" s="298"/>
    </row>
    <row r="2151" spans="1:15" x14ac:dyDescent="0.2">
      <c r="A2151" s="106"/>
      <c r="B2151" s="113"/>
      <c r="C2151" s="122"/>
      <c r="D2151" s="103"/>
      <c r="E2151" s="1314" t="s">
        <v>314</v>
      </c>
      <c r="F2151" s="1"/>
      <c r="G2151" s="1"/>
      <c r="H2151" s="166" t="s">
        <v>978</v>
      </c>
      <c r="I2151" s="156"/>
      <c r="J2151" s="156"/>
      <c r="K2151" s="157"/>
    </row>
    <row r="2152" spans="1:15" x14ac:dyDescent="0.2">
      <c r="A2152" s="106"/>
      <c r="B2152" s="113"/>
      <c r="C2152" s="122"/>
      <c r="D2152" s="103"/>
      <c r="E2152" s="126"/>
      <c r="F2152" s="124" t="s">
        <v>977</v>
      </c>
      <c r="G2152" s="95">
        <v>424</v>
      </c>
      <c r="H2152" s="89" t="s">
        <v>10</v>
      </c>
      <c r="I2152" s="160">
        <v>1000</v>
      </c>
      <c r="J2152" s="160"/>
      <c r="K2152" s="160">
        <f>SUM(I2152+J2152)</f>
        <v>1000</v>
      </c>
      <c r="L2152" s="27"/>
    </row>
    <row r="2153" spans="1:15" ht="31.5" customHeight="1" x14ac:dyDescent="0.2">
      <c r="A2153" s="106"/>
      <c r="B2153" s="113"/>
      <c r="C2153" s="122"/>
      <c r="D2153" s="103"/>
      <c r="E2153" s="176"/>
      <c r="F2153" s="42"/>
      <c r="G2153" s="42"/>
      <c r="H2153" s="152" t="s">
        <v>979</v>
      </c>
      <c r="I2153" s="161">
        <f>SUM(I2152:I2152)</f>
        <v>1000</v>
      </c>
      <c r="J2153" s="160"/>
      <c r="K2153" s="178">
        <f>SUM(K2152:K2152)</f>
        <v>1000</v>
      </c>
      <c r="L2153" s="27"/>
    </row>
    <row r="2154" spans="1:15" x14ac:dyDescent="0.2">
      <c r="A2154" s="106"/>
      <c r="B2154" s="113"/>
      <c r="C2154" s="122"/>
      <c r="D2154" s="103"/>
      <c r="E2154" s="176"/>
      <c r="F2154" s="1"/>
      <c r="G2154" s="38" t="s">
        <v>39</v>
      </c>
      <c r="H2154" s="90" t="s">
        <v>40</v>
      </c>
      <c r="I2154" s="241">
        <f>SUM(I2153)</f>
        <v>1000</v>
      </c>
      <c r="J2154" s="161"/>
      <c r="K2154" s="160">
        <f>SUM(I2154+J2154)</f>
        <v>1000</v>
      </c>
      <c r="L2154" s="27"/>
    </row>
    <row r="2155" spans="1:15" x14ac:dyDescent="0.2">
      <c r="A2155" s="106"/>
      <c r="B2155" s="113"/>
      <c r="C2155" s="122"/>
      <c r="D2155" s="103"/>
      <c r="E2155" s="176"/>
      <c r="F2155" s="42"/>
      <c r="G2155" s="42"/>
      <c r="H2155" s="97" t="s">
        <v>979</v>
      </c>
      <c r="I2155" s="162">
        <f>SUM(I2154:I2154)</f>
        <v>1000</v>
      </c>
      <c r="J2155" s="162"/>
      <c r="K2155" s="162">
        <f>SUM(K2154:K2154)</f>
        <v>1000</v>
      </c>
      <c r="L2155" s="27"/>
    </row>
    <row r="2156" spans="1:15" x14ac:dyDescent="0.2">
      <c r="A2156" s="106"/>
      <c r="B2156" s="113"/>
      <c r="C2156" s="122"/>
      <c r="D2156" s="103"/>
      <c r="E2156" s="177"/>
      <c r="F2156" s="1"/>
      <c r="G2156" s="1"/>
      <c r="H2156" s="21"/>
      <c r="I2156" s="47"/>
      <c r="J2156" s="48"/>
      <c r="K2156" s="48"/>
      <c r="L2156" s="27"/>
    </row>
    <row r="2157" spans="1:15" ht="22.5" x14ac:dyDescent="0.2">
      <c r="A2157" s="106"/>
      <c r="B2157" s="113"/>
      <c r="C2157" s="122"/>
      <c r="D2157" s="103"/>
      <c r="E2157" s="176"/>
      <c r="F2157" s="1"/>
      <c r="G2157" s="1"/>
      <c r="H2157" s="166" t="s">
        <v>1039</v>
      </c>
      <c r="I2157" s="156"/>
      <c r="J2157" s="156"/>
      <c r="K2157" s="157"/>
      <c r="L2157" s="27"/>
    </row>
    <row r="2158" spans="1:15" x14ac:dyDescent="0.2">
      <c r="A2158" s="106"/>
      <c r="B2158" s="113"/>
      <c r="C2158" s="122"/>
      <c r="D2158" s="103"/>
      <c r="E2158" s="177"/>
      <c r="F2158" s="124" t="s">
        <v>984</v>
      </c>
      <c r="G2158" s="95">
        <v>424</v>
      </c>
      <c r="H2158" s="89" t="s">
        <v>10</v>
      </c>
      <c r="I2158" s="160">
        <v>1000</v>
      </c>
      <c r="J2158" s="160"/>
      <c r="K2158" s="160">
        <f>SUM(I2158+J2158)</f>
        <v>1000</v>
      </c>
      <c r="L2158" s="27"/>
    </row>
    <row r="2159" spans="1:15" x14ac:dyDescent="0.2">
      <c r="A2159" s="106"/>
      <c r="B2159" s="113"/>
      <c r="C2159" s="122"/>
      <c r="D2159" s="103"/>
      <c r="E2159" s="250"/>
      <c r="F2159" s="95" t="s">
        <v>1082</v>
      </c>
      <c r="G2159" s="95">
        <v>515</v>
      </c>
      <c r="H2159" s="89" t="s">
        <v>23</v>
      </c>
      <c r="I2159" s="160">
        <v>3000000</v>
      </c>
      <c r="J2159" s="160"/>
      <c r="K2159" s="160">
        <f>SUM(I2159:J2159)</f>
        <v>3000000</v>
      </c>
    </row>
    <row r="2160" spans="1:15" s="642" customFormat="1" x14ac:dyDescent="0.2">
      <c r="A2160" s="94"/>
      <c r="B2160" s="112"/>
      <c r="C2160" s="119"/>
      <c r="D2160" s="94"/>
      <c r="E2160" s="176"/>
      <c r="F2160" s="42"/>
      <c r="G2160" s="42"/>
      <c r="H2160" s="152" t="s">
        <v>1023</v>
      </c>
      <c r="I2160" s="161">
        <f>SUM(I2158:I2159)</f>
        <v>3001000</v>
      </c>
      <c r="J2160" s="160"/>
      <c r="K2160" s="178">
        <f>SUM(I2160:J2160)</f>
        <v>3001000</v>
      </c>
      <c r="L2160" s="27"/>
      <c r="M2160" s="1223"/>
      <c r="N2160" s="61"/>
      <c r="O2160" s="61"/>
    </row>
    <row r="2161" spans="1:15" s="642" customFormat="1" x14ac:dyDescent="0.2">
      <c r="A2161" s="94"/>
      <c r="B2161" s="112"/>
      <c r="C2161" s="119"/>
      <c r="D2161" s="94"/>
      <c r="E2161" s="176"/>
      <c r="F2161" s="1"/>
      <c r="G2161" s="38" t="s">
        <v>39</v>
      </c>
      <c r="H2161" s="90" t="s">
        <v>40</v>
      </c>
      <c r="I2161" s="241">
        <f>SUM(I2158:I2159)</f>
        <v>3001000</v>
      </c>
      <c r="J2161" s="161"/>
      <c r="K2161" s="160">
        <f>SUM(I2161+J2161)</f>
        <v>3001000</v>
      </c>
      <c r="L2161" s="27"/>
      <c r="M2161" s="1223"/>
      <c r="N2161" s="61"/>
      <c r="O2161" s="61"/>
    </row>
    <row r="2162" spans="1:15" s="642" customFormat="1" x14ac:dyDescent="0.2">
      <c r="A2162" s="94"/>
      <c r="B2162" s="112"/>
      <c r="C2162" s="119"/>
      <c r="D2162" s="94"/>
      <c r="E2162" s="176"/>
      <c r="F2162" s="42"/>
      <c r="G2162" s="42"/>
      <c r="H2162" s="97" t="s">
        <v>1023</v>
      </c>
      <c r="I2162" s="162">
        <f>SUM(I2161:I2161)</f>
        <v>3001000</v>
      </c>
      <c r="J2162" s="162"/>
      <c r="K2162" s="162">
        <f>SUM(K2161:K2161)</f>
        <v>3001000</v>
      </c>
      <c r="L2162" s="27"/>
      <c r="M2162" s="1223"/>
      <c r="N2162" s="61"/>
      <c r="O2162" s="61"/>
    </row>
    <row r="2163" spans="1:15" s="642" customFormat="1" x14ac:dyDescent="0.2">
      <c r="A2163" s="94"/>
      <c r="B2163" s="112"/>
      <c r="C2163" s="119"/>
      <c r="D2163" s="94"/>
      <c r="E2163" s="176"/>
      <c r="F2163" s="46"/>
      <c r="G2163" s="46"/>
      <c r="H2163" s="70"/>
      <c r="I2163" s="66"/>
      <c r="J2163" s="66"/>
      <c r="K2163" s="66"/>
      <c r="L2163" s="27"/>
      <c r="M2163" s="1223"/>
      <c r="N2163" s="61"/>
      <c r="O2163" s="61"/>
    </row>
    <row r="2164" spans="1:15" s="642" customFormat="1" x14ac:dyDescent="0.2">
      <c r="A2164" s="583"/>
      <c r="B2164" s="926"/>
      <c r="C2164" s="121"/>
      <c r="D2164" s="583"/>
      <c r="E2164" s="177"/>
      <c r="F2164" s="1"/>
      <c r="G2164" s="1"/>
      <c r="H2164" s="138" t="s">
        <v>147</v>
      </c>
      <c r="I2164" s="163"/>
      <c r="J2164" s="163"/>
      <c r="K2164" s="164"/>
      <c r="L2164" s="27"/>
      <c r="M2164" s="1223"/>
      <c r="N2164" s="61"/>
      <c r="O2164" s="61"/>
    </row>
    <row r="2165" spans="1:15" s="642" customFormat="1" x14ac:dyDescent="0.2">
      <c r="A2165" s="94"/>
      <c r="B2165" s="112"/>
      <c r="C2165" s="119"/>
      <c r="D2165" s="94"/>
      <c r="E2165" s="176"/>
      <c r="F2165" s="1"/>
      <c r="G2165" s="38" t="s">
        <v>39</v>
      </c>
      <c r="H2165" s="90" t="s">
        <v>40</v>
      </c>
      <c r="I2165" s="160">
        <f>SUM(I2124+I2133+I2141+I2148+I2102+I2090+I2080+I2154+I2161)</f>
        <v>148341900</v>
      </c>
      <c r="J2165" s="160"/>
      <c r="K2165" s="160">
        <f>SUM(I2165:J2165)</f>
        <v>148341900</v>
      </c>
      <c r="L2165" s="27"/>
      <c r="M2165" s="1223"/>
      <c r="N2165" s="61"/>
      <c r="O2165" s="61"/>
    </row>
    <row r="2166" spans="1:15" s="642" customFormat="1" x14ac:dyDescent="0.2">
      <c r="A2166" s="917"/>
      <c r="B2166" s="993"/>
      <c r="C2166" s="790"/>
      <c r="E2166" s="767"/>
      <c r="F2166" s="1"/>
      <c r="G2166" s="38" t="s">
        <v>157</v>
      </c>
      <c r="H2166" s="90" t="s">
        <v>354</v>
      </c>
      <c r="I2166" s="160">
        <f>SUM(I2125+I2081+I2134)</f>
        <v>25277480</v>
      </c>
      <c r="J2166" s="160"/>
      <c r="K2166" s="160">
        <f>SUM(I2166:J2166)</f>
        <v>25277480</v>
      </c>
      <c r="L2166" s="887"/>
      <c r="M2166" s="1223"/>
      <c r="N2166" s="61"/>
      <c r="O2166" s="61"/>
    </row>
    <row r="2167" spans="1:15" s="642" customFormat="1" x14ac:dyDescent="0.2">
      <c r="A2167" s="917"/>
      <c r="B2167" s="993"/>
      <c r="C2167" s="790"/>
      <c r="D2167" s="148"/>
      <c r="E2167" s="767"/>
      <c r="F2167" s="1"/>
      <c r="G2167" s="38" t="s">
        <v>1141</v>
      </c>
      <c r="H2167" s="90" t="s">
        <v>1142</v>
      </c>
      <c r="I2167" s="160">
        <v>645120</v>
      </c>
      <c r="J2167" s="160"/>
      <c r="K2167" s="160">
        <f>SUM(I2167:J2167)</f>
        <v>645120</v>
      </c>
      <c r="L2167" s="887"/>
      <c r="M2167" s="1223"/>
      <c r="N2167" s="61"/>
      <c r="O2167" s="61"/>
    </row>
    <row r="2168" spans="1:15" s="642" customFormat="1" x14ac:dyDescent="0.2">
      <c r="A2168" s="94"/>
      <c r="B2168" s="112"/>
      <c r="C2168" s="119"/>
      <c r="D2168" s="99"/>
      <c r="E2168" s="176"/>
      <c r="F2168" s="42"/>
      <c r="G2168" s="43"/>
      <c r="H2168" s="97" t="s">
        <v>148</v>
      </c>
      <c r="I2168" s="162">
        <f>SUM(I2165:I2167)</f>
        <v>174264500</v>
      </c>
      <c r="J2168" s="162"/>
      <c r="K2168" s="162">
        <f>SUM(I2168:J2168)</f>
        <v>174264500</v>
      </c>
      <c r="L2168" s="27"/>
      <c r="M2168" s="1223"/>
      <c r="N2168" s="61"/>
      <c r="O2168" s="61"/>
    </row>
    <row r="2169" spans="1:15" s="642" customFormat="1" x14ac:dyDescent="0.2">
      <c r="A2169" s="94"/>
      <c r="B2169" s="112"/>
      <c r="C2169" s="119"/>
      <c r="D2169" s="98"/>
      <c r="E2169" s="1312"/>
      <c r="F2169" s="1"/>
      <c r="G2169" s="38"/>
      <c r="H2169" s="44"/>
      <c r="I2169" s="48"/>
      <c r="J2169" s="48"/>
      <c r="K2169" s="199"/>
      <c r="L2169" s="27"/>
      <c r="M2169" s="1223"/>
      <c r="N2169" s="61"/>
      <c r="O2169" s="61"/>
    </row>
    <row r="2170" spans="1:15" s="364" customFormat="1" x14ac:dyDescent="0.2">
      <c r="A2170" s="390"/>
      <c r="B2170" s="408"/>
      <c r="C2170" s="372"/>
      <c r="D2170" s="148" t="s">
        <v>312</v>
      </c>
      <c r="E2170" s="377"/>
      <c r="F2170" s="134"/>
      <c r="G2170" s="135"/>
      <c r="H2170" s="220" t="s">
        <v>316</v>
      </c>
      <c r="I2170" s="221">
        <f>SUM(I2177+I2188+I2197+I2205+I2215+I2223+I2233+I2250+I2259)</f>
        <v>87432900</v>
      </c>
      <c r="J2170" s="221"/>
      <c r="K2170" s="222">
        <f>SUM(I2170:J2170)</f>
        <v>87432900</v>
      </c>
      <c r="L2170" s="358"/>
      <c r="M2170" s="1224"/>
      <c r="N2170" s="363"/>
      <c r="O2170" s="363"/>
    </row>
    <row r="2171" spans="1:15" s="893" customFormat="1" x14ac:dyDescent="0.2">
      <c r="A2171" s="94"/>
      <c r="B2171" s="112"/>
      <c r="C2171" s="111">
        <v>487</v>
      </c>
      <c r="D2171" s="129"/>
      <c r="E2171" s="128"/>
      <c r="F2171" s="134"/>
      <c r="G2171" s="135"/>
      <c r="H2171" s="144"/>
      <c r="I2171" s="149"/>
      <c r="J2171" s="149"/>
      <c r="K2171" s="198"/>
      <c r="L2171" s="27"/>
      <c r="M2171" s="1224"/>
      <c r="N2171" s="892"/>
      <c r="O2171" s="892"/>
    </row>
    <row r="2172" spans="1:15" s="642" customFormat="1" x14ac:dyDescent="0.2">
      <c r="A2172" s="94"/>
      <c r="B2172" s="112"/>
      <c r="C2172" s="119"/>
      <c r="D2172" s="94"/>
      <c r="E2172" s="176"/>
      <c r="F2172" s="1"/>
      <c r="G2172" s="38"/>
      <c r="H2172" s="136" t="s">
        <v>334</v>
      </c>
      <c r="I2172" s="180"/>
      <c r="J2172" s="180"/>
      <c r="K2172" s="889"/>
      <c r="L2172" s="27"/>
      <c r="M2172" s="1223"/>
      <c r="N2172" s="61"/>
      <c r="O2172" s="61"/>
    </row>
    <row r="2173" spans="1:15" s="642" customFormat="1" x14ac:dyDescent="0.2">
      <c r="A2173" s="94"/>
      <c r="B2173" s="112"/>
      <c r="C2173" s="119"/>
      <c r="D2173" s="94"/>
      <c r="E2173" s="128" t="s">
        <v>326</v>
      </c>
      <c r="F2173" s="1"/>
      <c r="G2173" s="40"/>
      <c r="H2173" s="137" t="s">
        <v>550</v>
      </c>
      <c r="I2173" s="141"/>
      <c r="J2173" s="141"/>
      <c r="K2173" s="793"/>
      <c r="L2173" s="27"/>
      <c r="M2173" s="1223"/>
      <c r="N2173" s="61"/>
      <c r="O2173" s="61"/>
    </row>
    <row r="2174" spans="1:15" s="893" customFormat="1" x14ac:dyDescent="0.2">
      <c r="A2174" s="919"/>
      <c r="B2174" s="1064"/>
      <c r="C2174" s="120"/>
      <c r="D2174" s="919"/>
      <c r="E2174" s="246"/>
      <c r="F2174" s="194"/>
      <c r="G2174" s="312"/>
      <c r="H2174" s="147"/>
      <c r="I2174" s="228"/>
      <c r="J2174" s="228"/>
      <c r="K2174" s="391"/>
      <c r="L2174" s="27"/>
      <c r="M2174" s="1224"/>
      <c r="N2174" s="892"/>
      <c r="O2174" s="892"/>
    </row>
    <row r="2175" spans="1:15" s="642" customFormat="1" x14ac:dyDescent="0.2">
      <c r="A2175" s="94"/>
      <c r="B2175" s="112"/>
      <c r="C2175" s="119"/>
      <c r="D2175" s="94"/>
      <c r="E2175" s="176"/>
      <c r="F2175" s="1"/>
      <c r="G2175" s="38"/>
      <c r="H2175" s="138" t="s">
        <v>149</v>
      </c>
      <c r="I2175" s="163"/>
      <c r="J2175" s="163"/>
      <c r="K2175" s="164"/>
      <c r="L2175" s="27"/>
      <c r="M2175" s="1223"/>
      <c r="N2175" s="61"/>
      <c r="O2175" s="61"/>
    </row>
    <row r="2176" spans="1:15" s="642" customFormat="1" ht="24.75" customHeight="1" x14ac:dyDescent="0.2">
      <c r="A2176" s="583"/>
      <c r="B2176" s="926"/>
      <c r="C2176" s="121"/>
      <c r="D2176" s="583"/>
      <c r="E2176" s="177"/>
      <c r="F2176" s="124">
        <v>385</v>
      </c>
      <c r="G2176" s="154" t="s">
        <v>104</v>
      </c>
      <c r="H2176" s="1168" t="s">
        <v>387</v>
      </c>
      <c r="I2176" s="595">
        <v>11550000</v>
      </c>
      <c r="J2176" s="595"/>
      <c r="K2176" s="595">
        <f>SUM(I2176+J2176)</f>
        <v>11550000</v>
      </c>
      <c r="L2176" s="27"/>
      <c r="M2176" s="1223"/>
      <c r="N2176" s="61"/>
      <c r="O2176" s="61"/>
    </row>
    <row r="2177" spans="1:15" x14ac:dyDescent="0.2">
      <c r="A2177" s="106"/>
      <c r="B2177" s="375"/>
      <c r="C2177" s="122"/>
      <c r="D2177" s="106"/>
      <c r="E2177" s="250"/>
      <c r="F2177" s="1"/>
      <c r="G2177" s="38"/>
      <c r="H2177" s="97" t="s">
        <v>756</v>
      </c>
      <c r="I2177" s="162">
        <f>SUM(I2176)</f>
        <v>11550000</v>
      </c>
      <c r="J2177" s="162"/>
      <c r="K2177" s="162">
        <f t="shared" ref="K2177" si="106">SUM(K2176)</f>
        <v>11550000</v>
      </c>
    </row>
    <row r="2178" spans="1:15" s="642" customFormat="1" x14ac:dyDescent="0.2">
      <c r="A2178" s="583"/>
      <c r="B2178" s="926"/>
      <c r="C2178" s="121"/>
      <c r="D2178" s="101"/>
      <c r="E2178" s="177"/>
      <c r="F2178" s="41"/>
      <c r="G2178" s="41"/>
      <c r="H2178" s="138" t="s">
        <v>150</v>
      </c>
      <c r="I2178" s="163"/>
      <c r="J2178" s="163"/>
      <c r="K2178" s="164"/>
      <c r="L2178" s="27"/>
      <c r="M2178" s="1223"/>
      <c r="N2178" s="61"/>
      <c r="O2178" s="61"/>
    </row>
    <row r="2179" spans="1:15" s="642" customFormat="1" x14ac:dyDescent="0.2">
      <c r="A2179" s="919"/>
      <c r="B2179" s="1064"/>
      <c r="C2179" s="120"/>
      <c r="D2179" s="975"/>
      <c r="E2179" s="1312"/>
      <c r="F2179" s="1"/>
      <c r="G2179" s="38" t="s">
        <v>39</v>
      </c>
      <c r="H2179" s="90" t="s">
        <v>40</v>
      </c>
      <c r="I2179" s="160">
        <f>SUM(I2177)</f>
        <v>11550000</v>
      </c>
      <c r="J2179" s="160"/>
      <c r="K2179" s="160">
        <f>SUM(I2179:I2179)</f>
        <v>11550000</v>
      </c>
      <c r="L2179" s="27"/>
      <c r="M2179" s="1223"/>
      <c r="N2179" s="61"/>
      <c r="O2179" s="61"/>
    </row>
    <row r="2180" spans="1:15" s="642" customFormat="1" x14ac:dyDescent="0.2">
      <c r="A2180" s="917"/>
      <c r="B2180" s="993"/>
      <c r="C2180" s="790"/>
      <c r="D2180" s="912"/>
      <c r="E2180" s="148"/>
      <c r="F2180" s="42"/>
      <c r="G2180" s="43"/>
      <c r="H2180" s="97" t="s">
        <v>151</v>
      </c>
      <c r="I2180" s="162">
        <f>SUM(I2179)</f>
        <v>11550000</v>
      </c>
      <c r="J2180" s="192"/>
      <c r="K2180" s="162">
        <f>SUM(I2180:I2180)</f>
        <v>11550000</v>
      </c>
      <c r="L2180" s="887"/>
      <c r="M2180" s="1223"/>
      <c r="N2180" s="61"/>
      <c r="O2180" s="61"/>
    </row>
    <row r="2181" spans="1:15" s="642" customFormat="1" x14ac:dyDescent="0.2">
      <c r="A2181" s="94"/>
      <c r="B2181" s="112"/>
      <c r="C2181" s="111">
        <v>490</v>
      </c>
      <c r="D2181" s="129"/>
      <c r="E2181" s="128"/>
      <c r="F2181" s="46"/>
      <c r="G2181" s="64"/>
      <c r="H2181" s="55"/>
      <c r="I2181" s="59"/>
      <c r="J2181" s="223"/>
      <c r="K2181" s="373"/>
      <c r="L2181" s="27"/>
      <c r="M2181" s="1223"/>
      <c r="N2181" s="61"/>
      <c r="O2181" s="61"/>
    </row>
    <row r="2182" spans="1:15" x14ac:dyDescent="0.2">
      <c r="A2182" s="106"/>
      <c r="B2182" s="375"/>
      <c r="C2182" s="113"/>
      <c r="D2182" s="425"/>
      <c r="E2182" s="213"/>
      <c r="F2182" s="184"/>
      <c r="G2182" s="38"/>
      <c r="H2182" s="1069" t="s">
        <v>336</v>
      </c>
      <c r="I2182" s="1070"/>
      <c r="J2182" s="1070"/>
      <c r="K2182" s="1071"/>
    </row>
    <row r="2183" spans="1:15" x14ac:dyDescent="0.2">
      <c r="A2183" s="106"/>
      <c r="B2183" s="375"/>
      <c r="C2183" s="122"/>
      <c r="D2183" s="106"/>
      <c r="E2183" s="1174" t="s">
        <v>317</v>
      </c>
      <c r="F2183" s="184"/>
      <c r="G2183" s="40"/>
      <c r="H2183" s="1069" t="s">
        <v>818</v>
      </c>
      <c r="I2183" s="1070"/>
      <c r="J2183" s="1070"/>
      <c r="K2183" s="1173"/>
    </row>
    <row r="2184" spans="1:15" s="364" customFormat="1" x14ac:dyDescent="0.2">
      <c r="A2184" s="106"/>
      <c r="B2184" s="375"/>
      <c r="C2184" s="122"/>
      <c r="D2184" s="106"/>
      <c r="E2184" s="250"/>
      <c r="F2184" s="134"/>
      <c r="G2184" s="165"/>
      <c r="H2184" s="144"/>
      <c r="I2184" s="145"/>
      <c r="J2184" s="145"/>
      <c r="K2184" s="794"/>
      <c r="L2184" s="26"/>
      <c r="M2184" s="1224"/>
      <c r="N2184" s="363"/>
      <c r="O2184" s="363"/>
    </row>
    <row r="2185" spans="1:15" x14ac:dyDescent="0.2">
      <c r="A2185" s="110"/>
      <c r="B2185" s="414"/>
      <c r="C2185" s="209"/>
      <c r="D2185" s="110"/>
      <c r="E2185" s="254"/>
      <c r="F2185" s="1"/>
      <c r="G2185" s="38"/>
      <c r="H2185" s="44" t="s">
        <v>152</v>
      </c>
      <c r="I2185" s="48"/>
      <c r="J2185" s="48"/>
      <c r="K2185" s="205"/>
    </row>
    <row r="2186" spans="1:15" x14ac:dyDescent="0.2">
      <c r="A2186" s="106"/>
      <c r="B2186" s="375"/>
      <c r="C2186" s="122"/>
      <c r="D2186" s="106"/>
      <c r="E2186" s="250"/>
      <c r="F2186" s="46"/>
      <c r="G2186" s="64"/>
      <c r="H2186" s="55"/>
      <c r="I2186" s="223"/>
      <c r="J2186" s="223"/>
      <c r="K2186" s="280"/>
    </row>
    <row r="2187" spans="1:15" ht="22.5" x14ac:dyDescent="0.2">
      <c r="A2187" s="107"/>
      <c r="B2187" s="392"/>
      <c r="C2187" s="123"/>
      <c r="D2187" s="107"/>
      <c r="E2187" s="253"/>
      <c r="F2187" s="124">
        <v>386</v>
      </c>
      <c r="G2187" s="154" t="s">
        <v>104</v>
      </c>
      <c r="H2187" s="18" t="s">
        <v>388</v>
      </c>
      <c r="I2187" s="160">
        <v>7789900</v>
      </c>
      <c r="J2187" s="160"/>
      <c r="K2187" s="160">
        <f>SUM(I2187:J2187)</f>
        <v>7789900</v>
      </c>
    </row>
    <row r="2188" spans="1:15" x14ac:dyDescent="0.2">
      <c r="A2188" s="106"/>
      <c r="B2188" s="375"/>
      <c r="C2188" s="122"/>
      <c r="D2188" s="106"/>
      <c r="E2188" s="250"/>
      <c r="F2188" s="1"/>
      <c r="G2188" s="38"/>
      <c r="H2188" s="97" t="s">
        <v>789</v>
      </c>
      <c r="I2188" s="192">
        <f>SUM(I2187)</f>
        <v>7789900</v>
      </c>
      <c r="J2188" s="192"/>
      <c r="K2188" s="192">
        <f t="shared" ref="K2188" si="107">SUM(K2187)</f>
        <v>7789900</v>
      </c>
    </row>
    <row r="2189" spans="1:15" s="642" customFormat="1" x14ac:dyDescent="0.2">
      <c r="A2189" s="94"/>
      <c r="B2189" s="112"/>
      <c r="C2189" s="111">
        <v>490</v>
      </c>
      <c r="D2189" s="129"/>
      <c r="E2189" s="128"/>
      <c r="F2189" s="41"/>
      <c r="G2189" s="41"/>
      <c r="H2189" s="138" t="s">
        <v>153</v>
      </c>
      <c r="I2189" s="163"/>
      <c r="J2189" s="163"/>
      <c r="K2189" s="164"/>
      <c r="L2189" s="27"/>
      <c r="M2189" s="1223"/>
      <c r="N2189" s="61"/>
      <c r="O2189" s="61"/>
    </row>
    <row r="2190" spans="1:15" s="642" customFormat="1" x14ac:dyDescent="0.2">
      <c r="A2190" s="99"/>
      <c r="B2190" s="111"/>
      <c r="C2190" s="119"/>
      <c r="D2190" s="94"/>
      <c r="E2190" s="1312"/>
      <c r="F2190" s="1"/>
      <c r="G2190" s="38" t="s">
        <v>39</v>
      </c>
      <c r="H2190" s="90" t="s">
        <v>40</v>
      </c>
      <c r="I2190" s="160">
        <f>SUM(I2188)</f>
        <v>7789900</v>
      </c>
      <c r="J2190" s="160"/>
      <c r="K2190" s="160">
        <f>SUM(I2190+J2190)</f>
        <v>7789900</v>
      </c>
      <c r="L2190" s="27"/>
      <c r="M2190" s="1223"/>
      <c r="N2190" s="61"/>
      <c r="O2190" s="61"/>
    </row>
    <row r="2191" spans="1:15" s="642" customFormat="1" x14ac:dyDescent="0.2">
      <c r="A2191" s="99"/>
      <c r="B2191" s="111"/>
      <c r="C2191" s="119"/>
      <c r="D2191" s="94"/>
      <c r="E2191" s="176"/>
      <c r="F2191" s="42"/>
      <c r="G2191" s="43"/>
      <c r="H2191" s="97" t="s">
        <v>154</v>
      </c>
      <c r="I2191" s="162">
        <f>SUM(I2190)</f>
        <v>7789900</v>
      </c>
      <c r="J2191" s="162"/>
      <c r="K2191" s="162">
        <f t="shared" ref="K2191" si="108">SUM(K2190)</f>
        <v>7789900</v>
      </c>
      <c r="L2191" s="27"/>
      <c r="M2191" s="1223"/>
      <c r="N2191" s="61"/>
      <c r="O2191" s="61"/>
    </row>
    <row r="2192" spans="1:15" s="642" customFormat="1" x14ac:dyDescent="0.2">
      <c r="A2192" s="99"/>
      <c r="B2192" s="111"/>
      <c r="C2192" s="119"/>
      <c r="D2192" s="94"/>
      <c r="E2192" s="176"/>
      <c r="F2192" s="46"/>
      <c r="G2192" s="64"/>
      <c r="H2192" s="55"/>
      <c r="I2192" s="59"/>
      <c r="J2192" s="59"/>
      <c r="K2192" s="373"/>
      <c r="L2192" s="27"/>
      <c r="M2192" s="1223"/>
      <c r="N2192" s="61"/>
      <c r="O2192" s="61"/>
    </row>
    <row r="2193" spans="1:15" s="642" customFormat="1" x14ac:dyDescent="0.2">
      <c r="A2193" s="94"/>
      <c r="B2193" s="111"/>
      <c r="C2193" s="119"/>
      <c r="D2193" s="94"/>
      <c r="E2193" s="176"/>
      <c r="F2193" s="1"/>
      <c r="G2193" s="38"/>
      <c r="H2193" s="138" t="s">
        <v>152</v>
      </c>
      <c r="I2193" s="163"/>
      <c r="J2193" s="163"/>
      <c r="K2193" s="164"/>
      <c r="L2193" s="27"/>
      <c r="M2193" s="1223"/>
      <c r="N2193" s="61"/>
      <c r="O2193" s="61"/>
    </row>
    <row r="2194" spans="1:15" s="642" customFormat="1" x14ac:dyDescent="0.2">
      <c r="A2194" s="919"/>
      <c r="B2194" s="787"/>
      <c r="C2194" s="120"/>
      <c r="D2194" s="100"/>
      <c r="E2194" s="246"/>
      <c r="F2194" s="1"/>
      <c r="G2194" s="1"/>
      <c r="H2194" s="50"/>
      <c r="I2194" s="47"/>
      <c r="J2194" s="47"/>
      <c r="K2194" s="199"/>
      <c r="L2194" s="27"/>
      <c r="M2194" s="1223"/>
      <c r="N2194" s="61"/>
      <c r="O2194" s="61"/>
    </row>
    <row r="2195" spans="1:15" s="642" customFormat="1" x14ac:dyDescent="0.2">
      <c r="A2195" s="583"/>
      <c r="B2195" s="781"/>
      <c r="C2195" s="121"/>
      <c r="D2195" s="101"/>
      <c r="E2195" s="128" t="s">
        <v>312</v>
      </c>
      <c r="F2195" s="1"/>
      <c r="G2195" s="1"/>
      <c r="H2195" s="522" t="s">
        <v>579</v>
      </c>
      <c r="I2195" s="156"/>
      <c r="J2195" s="156"/>
      <c r="K2195" s="157"/>
      <c r="L2195" s="27"/>
      <c r="M2195" s="1223"/>
      <c r="N2195" s="61"/>
      <c r="O2195" s="61"/>
    </row>
    <row r="2196" spans="1:15" x14ac:dyDescent="0.2">
      <c r="A2196" s="106"/>
      <c r="B2196" s="115"/>
      <c r="C2196" s="421"/>
      <c r="D2196" s="131"/>
      <c r="E2196" s="395"/>
      <c r="F2196" s="124">
        <v>387</v>
      </c>
      <c r="G2196" s="95">
        <v>454</v>
      </c>
      <c r="H2196" s="89" t="s">
        <v>580</v>
      </c>
      <c r="I2196" s="160">
        <v>5000000</v>
      </c>
      <c r="J2196" s="160"/>
      <c r="K2196" s="160">
        <f>SUM(I2196+J2196)</f>
        <v>5000000</v>
      </c>
    </row>
    <row r="2197" spans="1:15" s="642" customFormat="1" x14ac:dyDescent="0.2">
      <c r="A2197" s="94"/>
      <c r="B2197" s="112"/>
      <c r="C2197" s="111">
        <v>490</v>
      </c>
      <c r="D2197" s="129"/>
      <c r="E2197" s="128"/>
      <c r="F2197" s="1"/>
      <c r="G2197" s="1"/>
      <c r="H2197" s="97" t="s">
        <v>350</v>
      </c>
      <c r="I2197" s="179">
        <f>SUM(I2196)</f>
        <v>5000000</v>
      </c>
      <c r="J2197" s="162"/>
      <c r="K2197" s="162">
        <f>SUM(I2197+J2197)</f>
        <v>5000000</v>
      </c>
      <c r="L2197" s="27"/>
      <c r="M2197" s="1223"/>
      <c r="N2197" s="61"/>
      <c r="O2197" s="61"/>
    </row>
    <row r="2198" spans="1:15" s="642" customFormat="1" x14ac:dyDescent="0.2">
      <c r="A2198" s="99"/>
      <c r="B2198" s="111"/>
      <c r="C2198" s="119"/>
      <c r="D2198" s="94"/>
      <c r="E2198" s="1312"/>
      <c r="F2198" s="41"/>
      <c r="G2198" s="45" t="s">
        <v>39</v>
      </c>
      <c r="H2198" s="90" t="s">
        <v>40</v>
      </c>
      <c r="I2198" s="241">
        <f>SUM(I2197)</f>
        <v>5000000</v>
      </c>
      <c r="J2198" s="161"/>
      <c r="K2198" s="160">
        <f>SUM(I2198+J2198)</f>
        <v>5000000</v>
      </c>
      <c r="L2198" s="27"/>
      <c r="M2198" s="1223"/>
      <c r="N2198" s="61"/>
      <c r="O2198" s="61"/>
    </row>
    <row r="2199" spans="1:15" s="642" customFormat="1" x14ac:dyDescent="0.2">
      <c r="A2199" s="99"/>
      <c r="B2199" s="111"/>
      <c r="C2199" s="119"/>
      <c r="D2199" s="94"/>
      <c r="E2199" s="176"/>
      <c r="F2199" s="42"/>
      <c r="G2199" s="42"/>
      <c r="H2199" s="97" t="s">
        <v>350</v>
      </c>
      <c r="I2199" s="162">
        <f>SUM(I2198:I2198)</f>
        <v>5000000</v>
      </c>
      <c r="J2199" s="162"/>
      <c r="K2199" s="162">
        <f>SUM(K2198:K2198)</f>
        <v>5000000</v>
      </c>
      <c r="L2199" s="27"/>
      <c r="M2199" s="1223"/>
      <c r="N2199" s="61"/>
      <c r="O2199" s="61"/>
    </row>
    <row r="2200" spans="1:15" s="642" customFormat="1" ht="15" x14ac:dyDescent="0.2">
      <c r="A2200" s="99"/>
      <c r="B2200" s="111"/>
      <c r="C2200" s="119"/>
      <c r="D2200" s="94"/>
      <c r="E2200" s="176"/>
      <c r="F2200" s="296"/>
      <c r="G2200" s="296"/>
      <c r="H2200" s="422"/>
      <c r="I2200" s="59"/>
      <c r="J2200" s="59"/>
      <c r="K2200" s="373"/>
      <c r="L2200" s="977"/>
      <c r="M2200" s="1223"/>
      <c r="N2200" s="61"/>
      <c r="O2200" s="61"/>
    </row>
    <row r="2201" spans="1:15" s="642" customFormat="1" x14ac:dyDescent="0.2">
      <c r="A2201" s="94"/>
      <c r="B2201" s="111"/>
      <c r="C2201" s="119"/>
      <c r="D2201" s="94"/>
      <c r="E2201" s="176"/>
      <c r="F2201" s="1"/>
      <c r="G2201" s="38"/>
      <c r="H2201" s="138" t="s">
        <v>152</v>
      </c>
      <c r="I2201" s="859"/>
      <c r="J2201" s="859"/>
      <c r="K2201" s="860"/>
      <c r="L2201" s="891"/>
      <c r="M2201" s="1223"/>
      <c r="N2201" s="61"/>
      <c r="O2201" s="61"/>
    </row>
    <row r="2202" spans="1:15" s="642" customFormat="1" x14ac:dyDescent="0.2">
      <c r="A2202" s="919"/>
      <c r="B2202" s="852"/>
      <c r="C2202" s="853"/>
      <c r="D2202" s="851"/>
      <c r="E2202" s="854"/>
      <c r="F2202" s="1"/>
      <c r="G2202" s="1"/>
      <c r="H2202" s="50"/>
      <c r="I2202" s="863"/>
      <c r="J2202" s="863"/>
      <c r="K2202" s="864"/>
      <c r="L2202" s="891"/>
      <c r="M2202" s="1223"/>
      <c r="N2202" s="61"/>
      <c r="O2202" s="61"/>
    </row>
    <row r="2203" spans="1:15" s="642" customFormat="1" ht="22.5" x14ac:dyDescent="0.2">
      <c r="A2203" s="583"/>
      <c r="B2203" s="849"/>
      <c r="C2203" s="850"/>
      <c r="D2203" s="848"/>
      <c r="E2203" s="128" t="s">
        <v>312</v>
      </c>
      <c r="F2203" s="1"/>
      <c r="G2203" s="1"/>
      <c r="H2203" s="1175" t="s">
        <v>698</v>
      </c>
      <c r="I2203" s="156"/>
      <c r="J2203" s="156"/>
      <c r="K2203" s="157"/>
      <c r="L2203" s="891"/>
      <c r="M2203" s="1223"/>
      <c r="N2203" s="61"/>
      <c r="O2203" s="61"/>
    </row>
    <row r="2204" spans="1:15" x14ac:dyDescent="0.2">
      <c r="A2204" s="106"/>
      <c r="B2204" s="115"/>
      <c r="C2204" s="421"/>
      <c r="D2204" s="131"/>
      <c r="E2204" s="395"/>
      <c r="F2204" s="124">
        <v>388</v>
      </c>
      <c r="G2204" s="95">
        <v>454</v>
      </c>
      <c r="H2204" s="89" t="s">
        <v>580</v>
      </c>
      <c r="I2204" s="1250">
        <v>2970000</v>
      </c>
      <c r="J2204" s="133"/>
      <c r="K2204" s="133">
        <f>SUM(I2204+J2204)</f>
        <v>2970000</v>
      </c>
      <c r="L2204" s="361"/>
    </row>
    <row r="2205" spans="1:15" s="642" customFormat="1" x14ac:dyDescent="0.2">
      <c r="A2205" s="94"/>
      <c r="B2205" s="112"/>
      <c r="C2205" s="111">
        <v>490</v>
      </c>
      <c r="D2205" s="129"/>
      <c r="E2205" s="128"/>
      <c r="F2205" s="1"/>
      <c r="G2205" s="1"/>
      <c r="H2205" s="97" t="s">
        <v>351</v>
      </c>
      <c r="I2205" s="505">
        <f>SUM(I2204)</f>
        <v>2970000</v>
      </c>
      <c r="J2205" s="162"/>
      <c r="K2205" s="162">
        <f>SUM(I2205+J2205)</f>
        <v>2970000</v>
      </c>
      <c r="L2205" s="891"/>
      <c r="M2205" s="1223"/>
      <c r="N2205" s="61"/>
      <c r="O2205" s="61"/>
    </row>
    <row r="2206" spans="1:15" s="642" customFormat="1" x14ac:dyDescent="0.2">
      <c r="A2206" s="99"/>
      <c r="B2206" s="111"/>
      <c r="C2206" s="119"/>
      <c r="D2206" s="94"/>
      <c r="E2206" s="128"/>
      <c r="F2206" s="1176"/>
      <c r="G2206" s="1177" t="s">
        <v>39</v>
      </c>
      <c r="H2206" s="12" t="s">
        <v>40</v>
      </c>
      <c r="I2206" s="150">
        <f>SUM(I2205)</f>
        <v>2970000</v>
      </c>
      <c r="J2206" s="173"/>
      <c r="K2206" s="133">
        <f>SUM(I2206+J2206)</f>
        <v>2970000</v>
      </c>
      <c r="L2206" s="891"/>
      <c r="M2206" s="1223"/>
      <c r="N2206" s="61"/>
      <c r="O2206" s="61"/>
    </row>
    <row r="2207" spans="1:15" s="642" customFormat="1" x14ac:dyDescent="0.2">
      <c r="A2207" s="99"/>
      <c r="B2207" s="111"/>
      <c r="C2207" s="119"/>
      <c r="D2207" s="94"/>
      <c r="E2207" s="176"/>
      <c r="F2207" s="503"/>
      <c r="G2207" s="503"/>
      <c r="H2207" s="504" t="s">
        <v>351</v>
      </c>
      <c r="I2207" s="170">
        <f>SUM(I2206:I2206)</f>
        <v>2970000</v>
      </c>
      <c r="J2207" s="170"/>
      <c r="K2207" s="170">
        <f>SUM(K2206:K2206)</f>
        <v>2970000</v>
      </c>
      <c r="L2207" s="891"/>
      <c r="M2207" s="1223"/>
      <c r="N2207" s="61"/>
      <c r="O2207" s="61"/>
    </row>
    <row r="2208" spans="1:15" s="642" customFormat="1" x14ac:dyDescent="0.2">
      <c r="A2208" s="99"/>
      <c r="B2208" s="111"/>
      <c r="C2208" s="119"/>
      <c r="D2208" s="94"/>
      <c r="E2208" s="176"/>
      <c r="F2208" s="296"/>
      <c r="G2208" s="296"/>
      <c r="H2208" s="422"/>
      <c r="I2208" s="59"/>
      <c r="J2208" s="59"/>
      <c r="K2208" s="373"/>
      <c r="L2208" s="891"/>
      <c r="M2208" s="1223"/>
      <c r="N2208" s="61"/>
      <c r="O2208" s="61"/>
    </row>
    <row r="2209" spans="1:15" s="642" customFormat="1" x14ac:dyDescent="0.2">
      <c r="A2209" s="99"/>
      <c r="B2209" s="111"/>
      <c r="C2209" s="119"/>
      <c r="D2209" s="94"/>
      <c r="E2209" s="176"/>
      <c r="F2209" s="1"/>
      <c r="G2209" s="38"/>
      <c r="H2209" s="138" t="s">
        <v>152</v>
      </c>
      <c r="I2209" s="859"/>
      <c r="J2209" s="859"/>
      <c r="K2209" s="860"/>
      <c r="L2209" s="891"/>
      <c r="M2209" s="1223"/>
      <c r="N2209" s="61"/>
      <c r="O2209" s="61"/>
    </row>
    <row r="2210" spans="1:15" s="642" customFormat="1" ht="15" x14ac:dyDescent="0.2">
      <c r="A2210" s="99"/>
      <c r="B2210" s="111"/>
      <c r="C2210" s="119"/>
      <c r="D2210" s="94"/>
      <c r="E2210" s="176"/>
      <c r="F2210" s="1"/>
      <c r="G2210" s="1"/>
      <c r="H2210" s="50"/>
      <c r="I2210" s="863"/>
      <c r="J2210" s="863"/>
      <c r="K2210" s="864"/>
      <c r="L2210" s="977"/>
      <c r="M2210" s="1223"/>
      <c r="N2210" s="61"/>
      <c r="O2210" s="61"/>
    </row>
    <row r="2211" spans="1:15" s="642" customFormat="1" x14ac:dyDescent="0.2">
      <c r="A2211" s="94"/>
      <c r="B2211" s="111"/>
      <c r="C2211" s="119"/>
      <c r="D2211" s="94"/>
      <c r="E2211" s="128" t="s">
        <v>312</v>
      </c>
      <c r="F2211" s="1"/>
      <c r="G2211" s="1"/>
      <c r="H2211" s="1178" t="s">
        <v>710</v>
      </c>
      <c r="I2211" s="158"/>
      <c r="J2211" s="158"/>
      <c r="K2211" s="159"/>
      <c r="L2211" s="891"/>
      <c r="M2211" s="1223"/>
      <c r="N2211" s="61"/>
      <c r="O2211" s="61"/>
    </row>
    <row r="2212" spans="1:15" s="642" customFormat="1" x14ac:dyDescent="0.2">
      <c r="A2212" s="919"/>
      <c r="B2212" s="852"/>
      <c r="C2212" s="853"/>
      <c r="D2212" s="851"/>
      <c r="E2212" s="854"/>
      <c r="F2212" s="95" t="s">
        <v>1055</v>
      </c>
      <c r="G2212" s="95">
        <v>423</v>
      </c>
      <c r="H2212" s="594" t="s">
        <v>1056</v>
      </c>
      <c r="I2212" s="187">
        <v>600000</v>
      </c>
      <c r="J2212" s="187"/>
      <c r="K2212" s="187">
        <f>SUM(I2212:J2212)</f>
        <v>600000</v>
      </c>
      <c r="L2212" s="27"/>
      <c r="M2212" s="1223"/>
      <c r="N2212" s="61"/>
      <c r="O2212" s="61"/>
    </row>
    <row r="2213" spans="1:15" s="642" customFormat="1" ht="22.5" x14ac:dyDescent="0.2">
      <c r="A2213" s="583"/>
      <c r="B2213" s="849"/>
      <c r="C2213" s="850"/>
      <c r="D2213" s="848"/>
      <c r="E2213" s="502"/>
      <c r="F2213" s="124" t="s">
        <v>1059</v>
      </c>
      <c r="G2213" s="95">
        <v>423</v>
      </c>
      <c r="H2213" s="594" t="s">
        <v>1060</v>
      </c>
      <c r="I2213" s="187">
        <v>600000</v>
      </c>
      <c r="J2213" s="187"/>
      <c r="K2213" s="187">
        <f>SUM(I2213:J2213)</f>
        <v>600000</v>
      </c>
      <c r="L2213" s="27"/>
      <c r="M2213" s="1223"/>
      <c r="N2213" s="61"/>
      <c r="O2213" s="61"/>
    </row>
    <row r="2214" spans="1:15" x14ac:dyDescent="0.2">
      <c r="A2214" s="106"/>
      <c r="B2214" s="115"/>
      <c r="C2214" s="421"/>
      <c r="D2214" s="131"/>
      <c r="E2214" s="395"/>
      <c r="F2214" s="124">
        <v>389</v>
      </c>
      <c r="G2214" s="95">
        <v>424</v>
      </c>
      <c r="H2214" s="89" t="s">
        <v>10</v>
      </c>
      <c r="I2214" s="160">
        <v>11300000</v>
      </c>
      <c r="J2214" s="160"/>
      <c r="K2214" s="160">
        <f>SUM(I2214+J2214)</f>
        <v>11300000</v>
      </c>
    </row>
    <row r="2215" spans="1:15" s="642" customFormat="1" x14ac:dyDescent="0.2">
      <c r="A2215" s="99"/>
      <c r="B2215" s="111"/>
      <c r="C2215" s="111">
        <v>474</v>
      </c>
      <c r="D2215" s="98"/>
      <c r="E2215" s="128"/>
      <c r="F2215" s="1"/>
      <c r="G2215" s="1"/>
      <c r="H2215" s="97" t="s">
        <v>385</v>
      </c>
      <c r="I2215" s="505">
        <f>SUM(I2212:I2214)</f>
        <v>12500000</v>
      </c>
      <c r="J2215" s="162"/>
      <c r="K2215" s="162">
        <f>SUM(I2215+J2215)</f>
        <v>12500000</v>
      </c>
      <c r="L2215" s="27"/>
      <c r="M2215" s="1223"/>
      <c r="N2215" s="61"/>
      <c r="O2215" s="61"/>
    </row>
    <row r="2216" spans="1:15" s="642" customFormat="1" x14ac:dyDescent="0.2">
      <c r="A2216" s="99"/>
      <c r="B2216" s="111"/>
      <c r="C2216" s="119"/>
      <c r="D2216" s="94"/>
      <c r="E2216" s="128"/>
      <c r="F2216" s="1176"/>
      <c r="G2216" s="1177" t="s">
        <v>39</v>
      </c>
      <c r="H2216" s="12" t="s">
        <v>40</v>
      </c>
      <c r="I2216" s="150">
        <f>SUM(I2215)</f>
        <v>12500000</v>
      </c>
      <c r="J2216" s="173"/>
      <c r="K2216" s="133">
        <f>SUM(I2216+J2216)</f>
        <v>12500000</v>
      </c>
      <c r="L2216" s="27"/>
      <c r="M2216" s="1223"/>
      <c r="N2216" s="61"/>
      <c r="O2216" s="61"/>
    </row>
    <row r="2217" spans="1:15" s="642" customFormat="1" x14ac:dyDescent="0.2">
      <c r="A2217" s="99"/>
      <c r="B2217" s="111"/>
      <c r="C2217" s="119"/>
      <c r="D2217" s="94"/>
      <c r="E2217" s="176"/>
      <c r="F2217" s="503"/>
      <c r="G2217" s="503"/>
      <c r="H2217" s="504" t="s">
        <v>385</v>
      </c>
      <c r="I2217" s="170">
        <f>SUM(I2216:I2216)</f>
        <v>12500000</v>
      </c>
      <c r="J2217" s="170"/>
      <c r="K2217" s="170">
        <f>SUM(K2216:K2216)</f>
        <v>12500000</v>
      </c>
      <c r="L2217" s="27"/>
      <c r="M2217" s="1223"/>
      <c r="N2217" s="61"/>
      <c r="O2217" s="61"/>
    </row>
    <row r="2218" spans="1:15" s="642" customFormat="1" x14ac:dyDescent="0.2">
      <c r="A2218" s="99"/>
      <c r="B2218" s="111"/>
      <c r="C2218" s="119"/>
      <c r="D2218" s="94"/>
      <c r="E2218" s="176"/>
      <c r="F2218" s="296"/>
      <c r="G2218" s="296"/>
      <c r="H2218" s="422"/>
      <c r="I2218" s="59"/>
      <c r="J2218" s="59"/>
      <c r="K2218" s="373"/>
      <c r="L2218" s="27"/>
      <c r="M2218" s="1223"/>
      <c r="N2218" s="61"/>
      <c r="O2218" s="61"/>
    </row>
    <row r="2219" spans="1:15" s="642" customFormat="1" x14ac:dyDescent="0.2">
      <c r="A2219" s="94"/>
      <c r="B2219" s="111"/>
      <c r="C2219" s="119"/>
      <c r="D2219" s="94"/>
      <c r="E2219" s="176"/>
      <c r="F2219" s="1"/>
      <c r="G2219" s="1"/>
      <c r="H2219" s="168" t="s">
        <v>161</v>
      </c>
      <c r="I2219" s="163"/>
      <c r="J2219" s="163"/>
      <c r="K2219" s="164"/>
      <c r="L2219" s="27"/>
      <c r="M2219" s="1223"/>
      <c r="N2219" s="61"/>
      <c r="O2219" s="61"/>
    </row>
    <row r="2220" spans="1:15" s="642" customFormat="1" x14ac:dyDescent="0.2">
      <c r="A2220" s="919"/>
      <c r="B2220" s="787"/>
      <c r="C2220" s="120"/>
      <c r="D2220" s="100"/>
      <c r="E2220" s="246"/>
      <c r="F2220" s="1"/>
      <c r="G2220" s="1"/>
      <c r="H2220" s="50"/>
      <c r="I2220" s="47"/>
      <c r="J2220" s="47"/>
      <c r="K2220" s="199"/>
      <c r="L2220" s="27"/>
      <c r="M2220" s="1223"/>
      <c r="N2220" s="61"/>
      <c r="O2220" s="61"/>
    </row>
    <row r="2221" spans="1:15" s="642" customFormat="1" x14ac:dyDescent="0.2">
      <c r="A2221" s="94"/>
      <c r="B2221" s="111"/>
      <c r="C2221" s="119"/>
      <c r="D2221" s="99"/>
      <c r="E2221" s="128" t="s">
        <v>312</v>
      </c>
      <c r="F2221" s="1"/>
      <c r="G2221" s="1"/>
      <c r="H2221" s="522" t="s">
        <v>711</v>
      </c>
      <c r="I2221" s="156"/>
      <c r="J2221" s="156"/>
      <c r="K2221" s="157"/>
      <c r="L2221" s="27"/>
      <c r="M2221" s="1223"/>
      <c r="N2221" s="61"/>
      <c r="O2221" s="61"/>
    </row>
    <row r="2222" spans="1:15" s="642" customFormat="1" x14ac:dyDescent="0.2">
      <c r="A2222" s="583"/>
      <c r="B2222" s="781"/>
      <c r="C2222" s="121"/>
      <c r="D2222" s="101"/>
      <c r="E2222" s="177"/>
      <c r="F2222" s="124">
        <v>390</v>
      </c>
      <c r="G2222" s="1112">
        <v>472</v>
      </c>
      <c r="H2222" s="89" t="s">
        <v>390</v>
      </c>
      <c r="I2222" s="160">
        <v>11000000</v>
      </c>
      <c r="J2222" s="160"/>
      <c r="K2222" s="160">
        <f>SUM(I2222+J2222)</f>
        <v>11000000</v>
      </c>
      <c r="L2222" s="27"/>
      <c r="M2222" s="1223"/>
      <c r="N2222" s="61"/>
      <c r="O2222" s="61"/>
    </row>
    <row r="2223" spans="1:15" x14ac:dyDescent="0.2">
      <c r="A2223" s="258"/>
      <c r="B2223" s="439"/>
      <c r="C2223" s="294"/>
      <c r="D2223" s="295"/>
      <c r="E2223" s="435"/>
      <c r="F2223" s="1"/>
      <c r="G2223" s="1"/>
      <c r="H2223" s="96" t="s">
        <v>712</v>
      </c>
      <c r="I2223" s="178">
        <f>SUM(I2222)</f>
        <v>11000000</v>
      </c>
      <c r="J2223" s="161"/>
      <c r="K2223" s="161">
        <f>SUM(I2223+J2223)</f>
        <v>11000000</v>
      </c>
    </row>
    <row r="2224" spans="1:15" s="642" customFormat="1" x14ac:dyDescent="0.2">
      <c r="A2224" s="100"/>
      <c r="B2224" s="787"/>
      <c r="C2224" s="120"/>
      <c r="D2224" s="919"/>
      <c r="E2224" s="976"/>
      <c r="F2224" s="41"/>
      <c r="G2224" s="45" t="s">
        <v>39</v>
      </c>
      <c r="H2224" s="90" t="s">
        <v>40</v>
      </c>
      <c r="I2224" s="241">
        <f>SUM(I2223)-I2225</f>
        <v>7000000</v>
      </c>
      <c r="J2224" s="161"/>
      <c r="K2224" s="160">
        <f>SUM(I2224+J2224)</f>
        <v>7000000</v>
      </c>
      <c r="L2224" s="27"/>
      <c r="M2224" s="1223"/>
      <c r="N2224" s="61"/>
      <c r="O2224" s="61"/>
    </row>
    <row r="2225" spans="1:15" s="642" customFormat="1" x14ac:dyDescent="0.2">
      <c r="A2225" s="99"/>
      <c r="B2225" s="111"/>
      <c r="C2225" s="119"/>
      <c r="D2225" s="94"/>
      <c r="E2225" s="176"/>
      <c r="F2225" s="1"/>
      <c r="G2225" s="38" t="s">
        <v>157</v>
      </c>
      <c r="H2225" s="90" t="s">
        <v>354</v>
      </c>
      <c r="I2225" s="241">
        <v>4000000</v>
      </c>
      <c r="J2225" s="161"/>
      <c r="K2225" s="160">
        <f>SUM(I2225+J2225)</f>
        <v>4000000</v>
      </c>
      <c r="L2225" s="27"/>
      <c r="M2225" s="1223"/>
      <c r="N2225" s="61"/>
      <c r="O2225" s="61"/>
    </row>
    <row r="2226" spans="1:15" s="642" customFormat="1" x14ac:dyDescent="0.2">
      <c r="A2226" s="99"/>
      <c r="B2226" s="111"/>
      <c r="C2226" s="119"/>
      <c r="D2226" s="94"/>
      <c r="E2226" s="176"/>
      <c r="F2226" s="42"/>
      <c r="G2226" s="42"/>
      <c r="H2226" s="97" t="s">
        <v>712</v>
      </c>
      <c r="I2226" s="162">
        <f>SUM(I2224:I2225)</f>
        <v>11000000</v>
      </c>
      <c r="J2226" s="162"/>
      <c r="K2226" s="162">
        <f>SUM(K2224:K2225)</f>
        <v>11000000</v>
      </c>
      <c r="L2226" s="27"/>
      <c r="M2226" s="1223"/>
      <c r="N2226" s="61"/>
      <c r="O2226" s="61"/>
    </row>
    <row r="2227" spans="1:15" s="642" customFormat="1" x14ac:dyDescent="0.2">
      <c r="A2227" s="99"/>
      <c r="B2227" s="111"/>
      <c r="C2227" s="119"/>
      <c r="D2227" s="94"/>
      <c r="E2227" s="176"/>
      <c r="F2227" s="440"/>
      <c r="G2227" s="440"/>
      <c r="H2227" s="441"/>
      <c r="I2227" s="185"/>
      <c r="J2227" s="185"/>
      <c r="K2227" s="407"/>
      <c r="L2227" s="27"/>
      <c r="M2227" s="1223"/>
      <c r="N2227" s="61"/>
      <c r="O2227" s="61"/>
    </row>
    <row r="2228" spans="1:15" s="642" customFormat="1" ht="12.75" customHeight="1" x14ac:dyDescent="0.2">
      <c r="A2228" s="99"/>
      <c r="B2228" s="111"/>
      <c r="C2228" s="119"/>
      <c r="D2228" s="94"/>
      <c r="E2228" s="176"/>
      <c r="F2228" s="41"/>
      <c r="G2228" s="41"/>
      <c r="H2228" s="1179"/>
      <c r="I2228" s="960"/>
      <c r="J2228" s="611"/>
      <c r="K2228" s="916"/>
      <c r="L2228" s="27"/>
      <c r="M2228" s="1223"/>
      <c r="N2228" s="61"/>
      <c r="O2228" s="61"/>
    </row>
    <row r="2229" spans="1:15" s="642" customFormat="1" x14ac:dyDescent="0.2">
      <c r="A2229" s="99"/>
      <c r="B2229" s="111"/>
      <c r="C2229" s="119"/>
      <c r="D2229" s="94"/>
      <c r="E2229" s="128" t="s">
        <v>312</v>
      </c>
      <c r="F2229" s="1"/>
      <c r="G2229" s="1"/>
      <c r="H2229" s="1178" t="s">
        <v>713</v>
      </c>
      <c r="I2229" s="158"/>
      <c r="J2229" s="158"/>
      <c r="K2229" s="159"/>
      <c r="L2229" s="27"/>
      <c r="M2229" s="1223"/>
      <c r="N2229" s="61"/>
      <c r="O2229" s="61"/>
    </row>
    <row r="2230" spans="1:15" s="642" customFormat="1" x14ac:dyDescent="0.2">
      <c r="A2230" s="919"/>
      <c r="B2230" s="787"/>
      <c r="C2230" s="120"/>
      <c r="D2230" s="100"/>
      <c r="E2230" s="246"/>
      <c r="F2230" s="124">
        <v>391</v>
      </c>
      <c r="G2230" s="95">
        <v>424</v>
      </c>
      <c r="H2230" s="89" t="s">
        <v>163</v>
      </c>
      <c r="I2230" s="160">
        <v>21900000</v>
      </c>
      <c r="J2230" s="160"/>
      <c r="K2230" s="160">
        <f>SUM(I2230+J2230)</f>
        <v>21900000</v>
      </c>
      <c r="L2230" s="27"/>
      <c r="M2230" s="1223"/>
      <c r="N2230" s="61"/>
      <c r="O2230" s="61"/>
    </row>
    <row r="2231" spans="1:15" s="642" customFormat="1" x14ac:dyDescent="0.2">
      <c r="A2231" s="94"/>
      <c r="B2231" s="111"/>
      <c r="C2231" s="119"/>
      <c r="D2231" s="99"/>
      <c r="E2231" s="176"/>
      <c r="F2231" s="124">
        <v>392</v>
      </c>
      <c r="G2231" s="95">
        <v>511</v>
      </c>
      <c r="H2231" s="90" t="s">
        <v>20</v>
      </c>
      <c r="I2231" s="160">
        <v>6294000</v>
      </c>
      <c r="J2231" s="160"/>
      <c r="K2231" s="160">
        <f>SUM(I2231+J2231)</f>
        <v>6294000</v>
      </c>
      <c r="L2231" s="27"/>
      <c r="M2231" s="1223"/>
      <c r="N2231" s="61"/>
      <c r="O2231" s="61"/>
    </row>
    <row r="2232" spans="1:15" s="642" customFormat="1" x14ac:dyDescent="0.2">
      <c r="A2232" s="94"/>
      <c r="B2232" s="111"/>
      <c r="C2232" s="119"/>
      <c r="D2232" s="99"/>
      <c r="E2232" s="176"/>
      <c r="F2232" s="124">
        <v>393</v>
      </c>
      <c r="G2232" s="95">
        <v>512</v>
      </c>
      <c r="H2232" s="89" t="s">
        <v>21</v>
      </c>
      <c r="I2232" s="160">
        <v>1707000</v>
      </c>
      <c r="J2232" s="160"/>
      <c r="K2232" s="160">
        <f>SUM(I2232+J2232)</f>
        <v>1707000</v>
      </c>
      <c r="L2232" s="27"/>
      <c r="M2232" s="1223"/>
      <c r="N2232" s="61"/>
      <c r="O2232" s="61"/>
    </row>
    <row r="2233" spans="1:15" s="642" customFormat="1" x14ac:dyDescent="0.2">
      <c r="A2233" s="583"/>
      <c r="B2233" s="781"/>
      <c r="C2233" s="121"/>
      <c r="D2233" s="101"/>
      <c r="E2233" s="177"/>
      <c r="F2233" s="1"/>
      <c r="G2233" s="1"/>
      <c r="H2233" s="1180" t="s">
        <v>714</v>
      </c>
      <c r="I2233" s="162">
        <f>SUM(I2230:I2232)</f>
        <v>29901000</v>
      </c>
      <c r="J2233" s="162"/>
      <c r="K2233" s="162">
        <f>SUM(I2233:J2233)</f>
        <v>29901000</v>
      </c>
      <c r="L2233" s="27"/>
      <c r="M2233" s="1223"/>
      <c r="N2233" s="61"/>
      <c r="O2233" s="61"/>
    </row>
    <row r="2234" spans="1:15" s="642" customFormat="1" x14ac:dyDescent="0.2">
      <c r="A2234" s="100"/>
      <c r="B2234" s="787"/>
      <c r="C2234" s="120"/>
      <c r="D2234" s="100"/>
      <c r="E2234" s="246"/>
      <c r="F2234" s="41"/>
      <c r="G2234" s="45" t="s">
        <v>39</v>
      </c>
      <c r="H2234" s="90" t="s">
        <v>40</v>
      </c>
      <c r="I2234" s="241">
        <f>SUM(I2233-I2235-I2236)</f>
        <v>11901000</v>
      </c>
      <c r="J2234" s="161"/>
      <c r="K2234" s="160">
        <f>SUM(I2234+J2234)</f>
        <v>11901000</v>
      </c>
      <c r="L2234" s="27"/>
      <c r="M2234" s="1223"/>
      <c r="N2234" s="61"/>
      <c r="O2234" s="61"/>
    </row>
    <row r="2235" spans="1:15" s="642" customFormat="1" x14ac:dyDescent="0.2">
      <c r="A2235" s="99"/>
      <c r="B2235" s="111"/>
      <c r="C2235" s="119"/>
      <c r="D2235" s="99"/>
      <c r="E2235" s="176"/>
      <c r="F2235" s="1"/>
      <c r="G2235" s="38" t="s">
        <v>157</v>
      </c>
      <c r="H2235" s="90" t="s">
        <v>354</v>
      </c>
      <c r="I2235" s="241">
        <v>243947.97</v>
      </c>
      <c r="J2235" s="161"/>
      <c r="K2235" s="160">
        <f>SUM(I2235+J2235)</f>
        <v>243947.97</v>
      </c>
      <c r="L2235" s="27"/>
      <c r="M2235" s="1223"/>
      <c r="N2235" s="61"/>
      <c r="O2235" s="61"/>
    </row>
    <row r="2236" spans="1:15" s="642" customFormat="1" x14ac:dyDescent="0.2">
      <c r="A2236" s="99"/>
      <c r="B2236" s="111"/>
      <c r="C2236" s="119"/>
      <c r="D2236" s="99"/>
      <c r="E2236" s="176"/>
      <c r="F2236" s="1"/>
      <c r="G2236" s="38" t="s">
        <v>1141</v>
      </c>
      <c r="H2236" s="90" t="s">
        <v>1142</v>
      </c>
      <c r="I2236" s="241">
        <v>17756052.030000001</v>
      </c>
      <c r="J2236" s="161"/>
      <c r="K2236" s="160">
        <f>SUM(I2236+J2236)</f>
        <v>17756052.030000001</v>
      </c>
      <c r="L2236" s="27"/>
      <c r="M2236" s="1223"/>
      <c r="N2236" s="61"/>
      <c r="O2236" s="61"/>
    </row>
    <row r="2237" spans="1:15" s="642" customFormat="1" x14ac:dyDescent="0.2">
      <c r="A2237" s="99"/>
      <c r="B2237" s="111"/>
      <c r="C2237" s="119"/>
      <c r="D2237" s="99"/>
      <c r="E2237" s="176"/>
      <c r="F2237" s="42"/>
      <c r="G2237" s="42"/>
      <c r="H2237" s="97" t="s">
        <v>718</v>
      </c>
      <c r="I2237" s="162">
        <f>SUM(I2234:I2236)</f>
        <v>29901000</v>
      </c>
      <c r="J2237" s="162"/>
      <c r="K2237" s="162">
        <f>SUM(I2237:J2237)</f>
        <v>29901000</v>
      </c>
      <c r="L2237" s="27"/>
      <c r="M2237" s="1223"/>
      <c r="N2237" s="61"/>
      <c r="O2237" s="61"/>
    </row>
    <row r="2238" spans="1:15" s="642" customFormat="1" x14ac:dyDescent="0.2">
      <c r="A2238" s="101"/>
      <c r="B2238" s="781"/>
      <c r="C2238" s="121"/>
      <c r="D2238" s="101"/>
      <c r="E2238" s="177"/>
      <c r="F2238" s="41"/>
      <c r="G2238" s="41"/>
      <c r="H2238" s="138" t="s">
        <v>164</v>
      </c>
      <c r="I2238" s="163"/>
      <c r="J2238" s="163"/>
      <c r="K2238" s="164"/>
      <c r="L2238" s="27"/>
      <c r="M2238" s="1223"/>
      <c r="N2238" s="61"/>
      <c r="O2238" s="61"/>
    </row>
    <row r="2239" spans="1:15" x14ac:dyDescent="0.2">
      <c r="A2239" s="103"/>
      <c r="B2239" s="113"/>
      <c r="C2239" s="122"/>
      <c r="D2239" s="103"/>
      <c r="E2239" s="250"/>
      <c r="F2239" s="1"/>
      <c r="G2239" s="38" t="s">
        <v>39</v>
      </c>
      <c r="H2239" s="1181" t="s">
        <v>40</v>
      </c>
      <c r="I2239" s="192">
        <f>SUM(I2234+I2224)</f>
        <v>18901000</v>
      </c>
      <c r="J2239" s="192"/>
      <c r="K2239" s="192">
        <f>SUM(I2239:I2239)</f>
        <v>18901000</v>
      </c>
    </row>
    <row r="2240" spans="1:15" s="642" customFormat="1" x14ac:dyDescent="0.2">
      <c r="A2240" s="94"/>
      <c r="B2240" s="112"/>
      <c r="C2240" s="111">
        <v>620</v>
      </c>
      <c r="D2240" s="129"/>
      <c r="E2240" s="128"/>
      <c r="F2240" s="1"/>
      <c r="G2240" s="38" t="s">
        <v>157</v>
      </c>
      <c r="H2240" s="1181" t="s">
        <v>354</v>
      </c>
      <c r="I2240" s="192">
        <f>SUM(I2225+I2235)</f>
        <v>4243947.97</v>
      </c>
      <c r="J2240" s="192"/>
      <c r="K2240" s="192">
        <f>SUM(I2240:I2240)</f>
        <v>4243947.97</v>
      </c>
      <c r="L2240" s="27"/>
      <c r="M2240" s="1223"/>
      <c r="N2240" s="61"/>
      <c r="O2240" s="61"/>
    </row>
    <row r="2241" spans="1:15" s="642" customFormat="1" x14ac:dyDescent="0.2">
      <c r="A2241" s="94"/>
      <c r="B2241" s="111"/>
      <c r="C2241" s="119"/>
      <c r="D2241" s="94"/>
      <c r="E2241" s="126"/>
      <c r="F2241" s="1"/>
      <c r="G2241" s="38" t="s">
        <v>1141</v>
      </c>
      <c r="H2241" s="90" t="s">
        <v>1142</v>
      </c>
      <c r="I2241" s="192">
        <f>SUM(I2236)</f>
        <v>17756052.030000001</v>
      </c>
      <c r="J2241" s="192"/>
      <c r="K2241" s="192">
        <f>SUM(I2241:I2241)</f>
        <v>17756052.030000001</v>
      </c>
      <c r="L2241" s="27"/>
      <c r="M2241" s="1223"/>
      <c r="N2241" s="61"/>
      <c r="O2241" s="61"/>
    </row>
    <row r="2242" spans="1:15" s="642" customFormat="1" x14ac:dyDescent="0.2">
      <c r="A2242" s="94"/>
      <c r="B2242" s="890"/>
      <c r="C2242" s="214"/>
      <c r="D2242" s="108"/>
      <c r="E2242" s="176"/>
      <c r="F2242" s="42"/>
      <c r="G2242" s="43"/>
      <c r="H2242" s="97" t="s">
        <v>165</v>
      </c>
      <c r="I2242" s="162">
        <f>SUM(I2239:I2241)</f>
        <v>40901000</v>
      </c>
      <c r="J2242" s="162"/>
      <c r="K2242" s="162">
        <f>SUM(I2242:J2242)</f>
        <v>40901000</v>
      </c>
      <c r="L2242" s="27"/>
      <c r="M2242" s="1223"/>
      <c r="N2242" s="61"/>
      <c r="O2242" s="61"/>
    </row>
    <row r="2243" spans="1:15" s="642" customFormat="1" x14ac:dyDescent="0.2">
      <c r="A2243" s="94"/>
      <c r="B2243" s="890"/>
      <c r="C2243" s="214"/>
      <c r="D2243" s="108"/>
      <c r="E2243" s="176"/>
      <c r="F2243" s="46"/>
      <c r="G2243" s="64"/>
      <c r="H2243" s="55"/>
      <c r="I2243" s="59"/>
      <c r="J2243" s="59"/>
      <c r="K2243" s="373"/>
      <c r="L2243" s="26"/>
      <c r="M2243" s="1223"/>
      <c r="N2243" s="61"/>
      <c r="O2243" s="61"/>
    </row>
    <row r="2244" spans="1:15" s="642" customFormat="1" x14ac:dyDescent="0.2">
      <c r="A2244" s="129"/>
      <c r="B2244" s="111"/>
      <c r="C2244" s="111"/>
      <c r="D2244" s="129"/>
      <c r="E2244" s="128"/>
      <c r="F2244" s="1"/>
      <c r="G2244" s="38"/>
      <c r="H2244" s="138" t="s">
        <v>142</v>
      </c>
      <c r="I2244" s="163"/>
      <c r="J2244" s="163"/>
      <c r="K2244" s="164"/>
      <c r="L2244" s="27"/>
      <c r="M2244" s="1223"/>
      <c r="N2244" s="61"/>
      <c r="O2244" s="61"/>
    </row>
    <row r="2245" spans="1:15" s="642" customFormat="1" x14ac:dyDescent="0.2">
      <c r="A2245" s="94"/>
      <c r="B2245" s="111"/>
      <c r="C2245" s="119"/>
      <c r="D2245" s="94"/>
      <c r="E2245" s="176"/>
      <c r="F2245" s="1"/>
      <c r="G2245" s="1"/>
      <c r="H2245" s="21"/>
      <c r="I2245" s="47"/>
      <c r="J2245" s="48"/>
      <c r="K2245" s="205"/>
      <c r="L2245" s="27"/>
      <c r="M2245" s="1223"/>
      <c r="N2245" s="61"/>
      <c r="O2245" s="61"/>
    </row>
    <row r="2246" spans="1:15" s="642" customFormat="1" ht="14.25" customHeight="1" x14ac:dyDescent="0.2">
      <c r="A2246" s="919"/>
      <c r="B2246" s="787"/>
      <c r="C2246" s="120"/>
      <c r="D2246" s="100"/>
      <c r="E2246" s="976" t="s">
        <v>312</v>
      </c>
      <c r="F2246" s="1"/>
      <c r="G2246" s="1"/>
      <c r="H2246" s="166" t="s">
        <v>839</v>
      </c>
      <c r="I2246" s="156"/>
      <c r="J2246" s="156"/>
      <c r="K2246" s="157"/>
      <c r="L2246" s="27"/>
      <c r="M2246" s="1223"/>
      <c r="N2246" s="61"/>
      <c r="O2246" s="61"/>
    </row>
    <row r="2247" spans="1:15" s="642" customFormat="1" ht="14.25" customHeight="1" x14ac:dyDescent="0.2">
      <c r="A2247" s="583"/>
      <c r="B2247" s="781"/>
      <c r="C2247" s="121"/>
      <c r="D2247" s="101"/>
      <c r="E2247" s="177"/>
      <c r="F2247" s="95">
        <v>394</v>
      </c>
      <c r="G2247" s="95">
        <v>511</v>
      </c>
      <c r="H2247" s="90" t="s">
        <v>831</v>
      </c>
      <c r="I2247" s="187">
        <v>1000</v>
      </c>
      <c r="J2247" s="188"/>
      <c r="K2247" s="187">
        <f>SUM(I2247:J2247)</f>
        <v>1000</v>
      </c>
      <c r="L2247" s="27"/>
      <c r="M2247" s="1223"/>
      <c r="N2247" s="61"/>
      <c r="O2247" s="61"/>
    </row>
    <row r="2248" spans="1:15" ht="14.25" customHeight="1" x14ac:dyDescent="0.2">
      <c r="A2248" s="106"/>
      <c r="B2248" s="113"/>
      <c r="C2248" s="122"/>
      <c r="D2248" s="103"/>
      <c r="E2248" s="250"/>
      <c r="F2248" s="124">
        <v>395</v>
      </c>
      <c r="G2248" s="95">
        <v>511</v>
      </c>
      <c r="H2248" s="90" t="s">
        <v>832</v>
      </c>
      <c r="I2248" s="241">
        <v>1000</v>
      </c>
      <c r="J2248" s="160"/>
      <c r="K2248" s="160">
        <f>SUM(I2248+J2248)</f>
        <v>1000</v>
      </c>
    </row>
    <row r="2249" spans="1:15" ht="14.25" customHeight="1" x14ac:dyDescent="0.2">
      <c r="A2249" s="106"/>
      <c r="B2249" s="113"/>
      <c r="C2249" s="119"/>
      <c r="D2249" s="94"/>
      <c r="E2249" s="126"/>
      <c r="F2249" s="41"/>
      <c r="G2249" s="45" t="s">
        <v>39</v>
      </c>
      <c r="H2249" s="90" t="s">
        <v>40</v>
      </c>
      <c r="I2249" s="241">
        <f>SUM(I2247:I2248)</f>
        <v>2000</v>
      </c>
      <c r="J2249" s="161"/>
      <c r="K2249" s="160">
        <f>SUM(I2249+J2249)</f>
        <v>2000</v>
      </c>
    </row>
    <row r="2250" spans="1:15" ht="27.75" customHeight="1" x14ac:dyDescent="0.2">
      <c r="A2250" s="106"/>
      <c r="B2250" s="382"/>
      <c r="C2250" s="214"/>
      <c r="D2250" s="108"/>
      <c r="E2250" s="176"/>
      <c r="F2250" s="42"/>
      <c r="G2250" s="42"/>
      <c r="H2250" s="97" t="s">
        <v>717</v>
      </c>
      <c r="I2250" s="162">
        <f>SUM(I2249:I2249)</f>
        <v>2000</v>
      </c>
      <c r="J2250" s="162"/>
      <c r="K2250" s="162">
        <f>SUM(K2249:K2249)</f>
        <v>2000</v>
      </c>
    </row>
    <row r="2251" spans="1:15" ht="14.25" customHeight="1" x14ac:dyDescent="0.2">
      <c r="A2251" s="106"/>
      <c r="B2251" s="382"/>
      <c r="C2251" s="214"/>
      <c r="D2251" s="108"/>
      <c r="E2251" s="176"/>
      <c r="F2251" s="46"/>
      <c r="G2251" s="46"/>
      <c r="H2251" s="309"/>
      <c r="I2251" s="234"/>
      <c r="J2251" s="237"/>
      <c r="K2251" s="310"/>
    </row>
    <row r="2252" spans="1:15" ht="14.25" customHeight="1" x14ac:dyDescent="0.2">
      <c r="A2252" s="105"/>
      <c r="B2252" s="115"/>
      <c r="C2252" s="111"/>
      <c r="D2252" s="129"/>
      <c r="E2252" s="128"/>
      <c r="F2252" s="1"/>
      <c r="G2252" s="38"/>
      <c r="H2252" s="138" t="s">
        <v>142</v>
      </c>
      <c r="I2252" s="163"/>
      <c r="J2252" s="163"/>
      <c r="K2252" s="164"/>
    </row>
    <row r="2253" spans="1:15" ht="14.25" customHeight="1" x14ac:dyDescent="0.2">
      <c r="A2253" s="106"/>
      <c r="B2253" s="113"/>
      <c r="C2253" s="119"/>
      <c r="D2253" s="94"/>
      <c r="E2253" s="176"/>
      <c r="F2253" s="1"/>
      <c r="G2253" s="1"/>
      <c r="H2253" s="21"/>
      <c r="I2253" s="47"/>
      <c r="J2253" s="48"/>
      <c r="K2253" s="205"/>
    </row>
    <row r="2254" spans="1:15" ht="28.5" customHeight="1" x14ac:dyDescent="0.2">
      <c r="A2254" s="110"/>
      <c r="B2254" s="118"/>
      <c r="C2254" s="120"/>
      <c r="D2254" s="100"/>
      <c r="E2254" s="976" t="s">
        <v>312</v>
      </c>
      <c r="F2254" s="1"/>
      <c r="G2254" s="1"/>
      <c r="H2254" s="166" t="s">
        <v>1088</v>
      </c>
      <c r="I2254" s="156"/>
      <c r="J2254" s="156"/>
      <c r="K2254" s="157"/>
    </row>
    <row r="2255" spans="1:15" s="16" customFormat="1" ht="15" x14ac:dyDescent="0.25">
      <c r="A2255" s="107"/>
      <c r="B2255" s="114"/>
      <c r="C2255" s="121"/>
      <c r="D2255" s="101"/>
      <c r="E2255" s="177"/>
      <c r="F2255" s="95" t="s">
        <v>1089</v>
      </c>
      <c r="G2255" s="95">
        <v>424</v>
      </c>
      <c r="H2255" s="89" t="s">
        <v>10</v>
      </c>
      <c r="I2255" s="187">
        <v>120000</v>
      </c>
      <c r="J2255" s="188"/>
      <c r="K2255" s="187">
        <f>SUM(I2255:J2255)</f>
        <v>120000</v>
      </c>
      <c r="L2255" s="26"/>
      <c r="M2255" s="1226"/>
      <c r="N2255" s="53"/>
      <c r="O2255" s="53"/>
    </row>
    <row r="2256" spans="1:15" s="16" customFormat="1" ht="15" x14ac:dyDescent="0.25">
      <c r="A2256" s="106"/>
      <c r="B2256" s="113"/>
      <c r="C2256" s="122"/>
      <c r="D2256" s="103"/>
      <c r="E2256" s="250"/>
      <c r="F2256" s="124" t="s">
        <v>1090</v>
      </c>
      <c r="G2256" s="95">
        <v>511</v>
      </c>
      <c r="H2256" s="90" t="s">
        <v>735</v>
      </c>
      <c r="I2256" s="241">
        <v>6600000</v>
      </c>
      <c r="J2256" s="160"/>
      <c r="K2256" s="160">
        <f>SUM(I2256+J2256)</f>
        <v>6600000</v>
      </c>
      <c r="L2256" s="26"/>
      <c r="M2256" s="1226"/>
      <c r="N2256" s="53"/>
      <c r="O2256" s="53"/>
    </row>
    <row r="2257" spans="1:15" s="642" customFormat="1" x14ac:dyDescent="0.2">
      <c r="A2257" s="917"/>
      <c r="B2257" s="993"/>
      <c r="C2257" s="790"/>
      <c r="E2257" s="767"/>
      <c r="F2257" s="1"/>
      <c r="G2257" s="1"/>
      <c r="H2257" s="153" t="s">
        <v>1087</v>
      </c>
      <c r="I2257" s="162">
        <f>SUM(I2255:I2256)</f>
        <v>6720000</v>
      </c>
      <c r="J2257" s="192"/>
      <c r="K2257" s="179">
        <f>SUM(K2255:K2256)</f>
        <v>6720000</v>
      </c>
      <c r="L2257" s="887"/>
      <c r="M2257" s="1223"/>
      <c r="N2257" s="61"/>
      <c r="O2257" s="61"/>
    </row>
    <row r="2258" spans="1:15" s="642" customFormat="1" x14ac:dyDescent="0.2">
      <c r="A2258" s="108"/>
      <c r="B2258" s="1182"/>
      <c r="C2258" s="116"/>
      <c r="D2258" s="126"/>
      <c r="E2258" s="248"/>
      <c r="F2258" s="41"/>
      <c r="G2258" s="45" t="s">
        <v>39</v>
      </c>
      <c r="H2258" s="90" t="s">
        <v>40</v>
      </c>
      <c r="I2258" s="241">
        <f>SUM(I2257)</f>
        <v>6720000</v>
      </c>
      <c r="J2258" s="161"/>
      <c r="K2258" s="160">
        <f>SUM(I2258+J2258)</f>
        <v>6720000</v>
      </c>
      <c r="L2258" s="891"/>
      <c r="M2258" s="1223"/>
      <c r="N2258" s="61"/>
      <c r="O2258" s="61"/>
    </row>
    <row r="2259" spans="1:15" s="642" customFormat="1" x14ac:dyDescent="0.2">
      <c r="A2259" s="94"/>
      <c r="B2259" s="112"/>
      <c r="C2259" s="119"/>
      <c r="D2259" s="99"/>
      <c r="E2259" s="176"/>
      <c r="F2259" s="42"/>
      <c r="G2259" s="42"/>
      <c r="H2259" s="97" t="s">
        <v>1087</v>
      </c>
      <c r="I2259" s="162">
        <f>SUM(I2258:I2258)</f>
        <v>6720000</v>
      </c>
      <c r="J2259" s="162"/>
      <c r="K2259" s="162">
        <f>SUM(K2258:K2258)</f>
        <v>6720000</v>
      </c>
      <c r="L2259" s="27"/>
      <c r="M2259" s="1223"/>
      <c r="N2259" s="61"/>
      <c r="O2259" s="61"/>
    </row>
    <row r="2260" spans="1:15" s="642" customFormat="1" x14ac:dyDescent="0.2">
      <c r="A2260" s="94"/>
      <c r="B2260" s="111"/>
      <c r="C2260" s="111"/>
      <c r="D2260" s="98"/>
      <c r="E2260" s="128"/>
      <c r="F2260" s="46"/>
      <c r="G2260" s="46"/>
      <c r="H2260" s="309"/>
      <c r="I2260" s="234"/>
      <c r="J2260" s="237"/>
      <c r="K2260" s="310"/>
      <c r="L2260" s="27"/>
      <c r="M2260" s="1223"/>
      <c r="N2260" s="61"/>
      <c r="O2260" s="61"/>
    </row>
    <row r="2261" spans="1:15" s="893" customFormat="1" x14ac:dyDescent="0.2">
      <c r="A2261" s="94"/>
      <c r="B2261" s="111"/>
      <c r="C2261" s="111"/>
      <c r="D2261" s="148" t="s">
        <v>318</v>
      </c>
      <c r="E2261" s="128" t="s">
        <v>273</v>
      </c>
      <c r="F2261" s="134"/>
      <c r="G2261" s="135"/>
      <c r="H2261" s="220" t="s">
        <v>319</v>
      </c>
      <c r="I2261" s="221">
        <f>SUM(I2272+I2283)</f>
        <v>73201000</v>
      </c>
      <c r="J2261" s="221"/>
      <c r="K2261" s="222">
        <f>SUM(I2261:J2261)</f>
        <v>73201000</v>
      </c>
      <c r="L2261" s="27"/>
      <c r="M2261" s="1224"/>
      <c r="N2261" s="892"/>
      <c r="O2261" s="892"/>
    </row>
    <row r="2262" spans="1:15" s="896" customFormat="1" x14ac:dyDescent="0.2">
      <c r="A2262" s="94"/>
      <c r="B2262" s="111"/>
      <c r="C2262" s="111">
        <v>510</v>
      </c>
      <c r="D2262" s="98"/>
      <c r="E2262" s="128"/>
      <c r="F2262" s="37"/>
      <c r="G2262" s="30"/>
      <c r="H2262" s="29"/>
      <c r="I2262" s="62"/>
      <c r="J2262" s="62"/>
      <c r="K2262" s="288"/>
      <c r="L2262" s="27"/>
      <c r="M2262" s="1225"/>
      <c r="N2262" s="895"/>
      <c r="O2262" s="895"/>
    </row>
    <row r="2263" spans="1:15" x14ac:dyDescent="0.2">
      <c r="A2263" s="106"/>
      <c r="B2263" s="113"/>
      <c r="C2263" s="113"/>
      <c r="D2263" s="359"/>
      <c r="E2263" s="213"/>
      <c r="F2263" s="1"/>
      <c r="G2263" s="38"/>
      <c r="H2263" s="136" t="s">
        <v>337</v>
      </c>
      <c r="I2263" s="180"/>
      <c r="J2263" s="180"/>
      <c r="K2263" s="889"/>
    </row>
    <row r="2264" spans="1:15" s="642" customFormat="1" x14ac:dyDescent="0.2">
      <c r="A2264" s="94"/>
      <c r="B2264" s="111"/>
      <c r="C2264" s="111"/>
      <c r="D2264" s="98"/>
      <c r="E2264" s="128" t="s">
        <v>567</v>
      </c>
      <c r="F2264" s="1"/>
      <c r="G2264" s="40"/>
      <c r="H2264" s="137" t="s">
        <v>320</v>
      </c>
      <c r="I2264" s="141"/>
      <c r="J2264" s="141"/>
      <c r="K2264" s="793"/>
      <c r="L2264" s="27"/>
      <c r="M2264" s="1223"/>
      <c r="N2264" s="61"/>
      <c r="O2264" s="61"/>
    </row>
    <row r="2265" spans="1:15" s="642" customFormat="1" x14ac:dyDescent="0.2">
      <c r="A2265" s="94"/>
      <c r="B2265" s="111"/>
      <c r="C2265" s="111"/>
      <c r="D2265" s="98"/>
      <c r="E2265" s="128"/>
      <c r="F2265" s="1"/>
      <c r="G2265" s="40"/>
      <c r="H2265" s="1061"/>
      <c r="I2265" s="48"/>
      <c r="J2265" s="48"/>
      <c r="K2265" s="205"/>
      <c r="L2265" s="27"/>
      <c r="M2265" s="1223"/>
      <c r="N2265" s="61"/>
      <c r="O2265" s="61"/>
    </row>
    <row r="2266" spans="1:15" s="642" customFormat="1" x14ac:dyDescent="0.2">
      <c r="A2266" s="95"/>
      <c r="B2266" s="922"/>
      <c r="C2266" s="124"/>
      <c r="D2266" s="95"/>
      <c r="E2266" s="154"/>
      <c r="F2266" s="1"/>
      <c r="G2266" s="40"/>
      <c r="H2266" s="138" t="s">
        <v>155</v>
      </c>
      <c r="I2266" s="163"/>
      <c r="J2266" s="163"/>
      <c r="K2266" s="164"/>
      <c r="L2266" s="27"/>
      <c r="M2266" s="1223"/>
      <c r="N2266" s="61"/>
      <c r="O2266" s="61"/>
    </row>
    <row r="2267" spans="1:15" s="642" customFormat="1" x14ac:dyDescent="0.2">
      <c r="A2267" s="100"/>
      <c r="B2267" s="787"/>
      <c r="C2267" s="120"/>
      <c r="D2267" s="100"/>
      <c r="E2267" s="246"/>
      <c r="F2267" s="46"/>
      <c r="G2267" s="219"/>
      <c r="H2267" s="55"/>
      <c r="I2267" s="223"/>
      <c r="J2267" s="223"/>
      <c r="K2267" s="280"/>
      <c r="L2267" s="27"/>
      <c r="M2267" s="1223"/>
      <c r="N2267" s="61"/>
      <c r="O2267" s="61"/>
    </row>
    <row r="2268" spans="1:15" s="642" customFormat="1" ht="22.5" x14ac:dyDescent="0.2">
      <c r="A2268" s="101"/>
      <c r="B2268" s="781"/>
      <c r="C2268" s="121"/>
      <c r="D2268" s="101"/>
      <c r="E2268" s="177"/>
      <c r="F2268" s="124">
        <v>396</v>
      </c>
      <c r="G2268" s="95">
        <v>424</v>
      </c>
      <c r="H2268" s="17" t="s">
        <v>528</v>
      </c>
      <c r="I2268" s="160">
        <v>8200000</v>
      </c>
      <c r="J2268" s="160"/>
      <c r="K2268" s="160">
        <f>SUM(I2268+J2268)</f>
        <v>8200000</v>
      </c>
      <c r="L2268" s="27"/>
      <c r="M2268" s="1223"/>
      <c r="N2268" s="61"/>
      <c r="O2268" s="61"/>
    </row>
    <row r="2269" spans="1:15" x14ac:dyDescent="0.2">
      <c r="A2269" s="103"/>
      <c r="B2269" s="113"/>
      <c r="C2269" s="122"/>
      <c r="D2269" s="103"/>
      <c r="E2269" s="250"/>
      <c r="F2269" s="1"/>
      <c r="G2269" s="1"/>
      <c r="H2269" s="97" t="s">
        <v>786</v>
      </c>
      <c r="I2269" s="162">
        <f>SUM(I2268:I2268)</f>
        <v>8200000</v>
      </c>
      <c r="J2269" s="162"/>
      <c r="K2269" s="162">
        <f>SUM(K2268:K2268)</f>
        <v>8200000</v>
      </c>
    </row>
    <row r="2270" spans="1:15" s="642" customFormat="1" x14ac:dyDescent="0.2">
      <c r="A2270" s="99"/>
      <c r="B2270" s="111"/>
      <c r="C2270" s="119"/>
      <c r="D2270" s="99"/>
      <c r="E2270" s="176"/>
      <c r="F2270" s="57"/>
      <c r="G2270" s="57"/>
      <c r="H2270" s="138" t="s">
        <v>156</v>
      </c>
      <c r="I2270" s="163"/>
      <c r="J2270" s="163"/>
      <c r="K2270" s="164"/>
      <c r="L2270" s="27"/>
      <c r="M2270" s="1223"/>
      <c r="N2270" s="61"/>
      <c r="O2270" s="61"/>
    </row>
    <row r="2271" spans="1:15" s="642" customFormat="1" x14ac:dyDescent="0.2">
      <c r="A2271" s="99"/>
      <c r="B2271" s="111"/>
      <c r="C2271" s="119"/>
      <c r="D2271" s="99"/>
      <c r="E2271" s="1312"/>
      <c r="F2271" s="41"/>
      <c r="G2271" s="45" t="s">
        <v>39</v>
      </c>
      <c r="H2271" s="90" t="s">
        <v>40</v>
      </c>
      <c r="I2271" s="1103">
        <f>SUM(I2269)</f>
        <v>8200000</v>
      </c>
      <c r="J2271" s="160"/>
      <c r="K2271" s="160">
        <f>SUM(I2271:I2271)</f>
        <v>8200000</v>
      </c>
      <c r="L2271" s="27"/>
      <c r="M2271" s="1223"/>
      <c r="N2271" s="61"/>
      <c r="O2271" s="61"/>
    </row>
    <row r="2272" spans="1:15" s="642" customFormat="1" x14ac:dyDescent="0.2">
      <c r="A2272" s="99"/>
      <c r="B2272" s="111"/>
      <c r="C2272" s="119"/>
      <c r="D2272" s="99"/>
      <c r="E2272" s="128"/>
      <c r="F2272" s="42"/>
      <c r="G2272" s="43"/>
      <c r="H2272" s="97" t="s">
        <v>158</v>
      </c>
      <c r="I2272" s="162">
        <f>SUM(I2269)</f>
        <v>8200000</v>
      </c>
      <c r="J2272" s="192"/>
      <c r="K2272" s="162">
        <f>SUM(I2272:I2272)</f>
        <v>8200000</v>
      </c>
      <c r="L2272" s="27"/>
      <c r="M2272" s="1223"/>
      <c r="N2272" s="61"/>
      <c r="O2272" s="61"/>
    </row>
    <row r="2273" spans="1:15" s="642" customFormat="1" x14ac:dyDescent="0.2">
      <c r="A2273" s="99"/>
      <c r="B2273" s="111"/>
      <c r="C2273" s="111">
        <v>560</v>
      </c>
      <c r="D2273" s="98"/>
      <c r="E2273" s="128"/>
      <c r="F2273" s="46"/>
      <c r="G2273" s="64"/>
      <c r="H2273" s="55"/>
      <c r="I2273" s="223"/>
      <c r="J2273" s="223"/>
      <c r="K2273" s="373"/>
      <c r="L2273" s="27"/>
      <c r="M2273" s="1223"/>
      <c r="N2273" s="61"/>
      <c r="O2273" s="61"/>
    </row>
    <row r="2274" spans="1:15" s="642" customFormat="1" x14ac:dyDescent="0.2">
      <c r="A2274" s="99"/>
      <c r="B2274" s="111"/>
      <c r="C2274" s="111"/>
      <c r="D2274" s="98"/>
      <c r="E2274" s="128"/>
      <c r="F2274" s="1"/>
      <c r="G2274" s="38"/>
      <c r="H2274" s="136" t="s">
        <v>336</v>
      </c>
      <c r="I2274" s="180"/>
      <c r="J2274" s="180"/>
      <c r="K2274" s="889"/>
      <c r="L2274" s="27"/>
      <c r="M2274" s="1223"/>
      <c r="N2274" s="61"/>
      <c r="O2274" s="61"/>
    </row>
    <row r="2275" spans="1:15" s="642" customFormat="1" x14ac:dyDescent="0.2">
      <c r="A2275" s="99"/>
      <c r="B2275" s="111"/>
      <c r="C2275" s="111"/>
      <c r="D2275" s="98"/>
      <c r="E2275" s="128" t="s">
        <v>819</v>
      </c>
      <c r="F2275" s="1"/>
      <c r="G2275" s="40"/>
      <c r="H2275" s="137" t="s">
        <v>820</v>
      </c>
      <c r="I2275" s="141"/>
      <c r="J2275" s="141"/>
      <c r="K2275" s="793"/>
      <c r="L2275" s="27"/>
      <c r="M2275" s="1223"/>
      <c r="N2275" s="61"/>
      <c r="O2275" s="61"/>
    </row>
    <row r="2276" spans="1:15" s="642" customFormat="1" x14ac:dyDescent="0.2">
      <c r="A2276" s="101"/>
      <c r="B2276" s="781"/>
      <c r="C2276" s="121"/>
      <c r="D2276" s="583"/>
      <c r="E2276" s="177"/>
      <c r="F2276" s="1"/>
      <c r="G2276" s="40"/>
      <c r="H2276" s="29"/>
      <c r="I2276" s="62"/>
      <c r="J2276" s="62"/>
      <c r="K2276" s="288"/>
      <c r="L2276" s="27"/>
      <c r="M2276" s="1223"/>
      <c r="N2276" s="61"/>
      <c r="O2276" s="61"/>
    </row>
    <row r="2277" spans="1:15" s="642" customFormat="1" x14ac:dyDescent="0.2">
      <c r="A2277" s="99"/>
      <c r="B2277" s="111"/>
      <c r="C2277" s="119"/>
      <c r="D2277" s="94"/>
      <c r="E2277" s="176"/>
      <c r="F2277" s="39"/>
      <c r="G2277" s="39"/>
      <c r="H2277" s="1183" t="s">
        <v>389</v>
      </c>
      <c r="I2277" s="62"/>
      <c r="J2277" s="62"/>
      <c r="K2277" s="288"/>
      <c r="L2277" s="27"/>
      <c r="M2277" s="1223"/>
      <c r="N2277" s="61"/>
      <c r="O2277" s="61"/>
    </row>
    <row r="2278" spans="1:15" s="642" customFormat="1" x14ac:dyDescent="0.2">
      <c r="A2278" s="99"/>
      <c r="B2278" s="111"/>
      <c r="C2278" s="119"/>
      <c r="D2278" s="94"/>
      <c r="E2278" s="176"/>
      <c r="F2278" s="95">
        <v>397</v>
      </c>
      <c r="G2278" s="95">
        <v>424</v>
      </c>
      <c r="H2278" s="1184" t="s">
        <v>932</v>
      </c>
      <c r="I2278" s="187">
        <v>1000</v>
      </c>
      <c r="J2278" s="187"/>
      <c r="K2278" s="187">
        <f>SUM(I2278:J2278)</f>
        <v>1000</v>
      </c>
      <c r="L2278" s="27"/>
      <c r="M2278" s="1223"/>
      <c r="N2278" s="61"/>
      <c r="O2278" s="61"/>
    </row>
    <row r="2279" spans="1:15" s="642" customFormat="1" x14ac:dyDescent="0.2">
      <c r="A2279" s="99"/>
      <c r="B2279" s="111"/>
      <c r="C2279" s="119"/>
      <c r="D2279" s="94"/>
      <c r="E2279" s="176"/>
      <c r="F2279" s="124">
        <v>398</v>
      </c>
      <c r="G2279" s="95">
        <v>423</v>
      </c>
      <c r="H2279" s="89" t="s">
        <v>339</v>
      </c>
      <c r="I2279" s="160">
        <v>5000000</v>
      </c>
      <c r="J2279" s="160"/>
      <c r="K2279" s="160">
        <f>SUM(I2279+J2279)</f>
        <v>5000000</v>
      </c>
      <c r="L2279" s="27"/>
      <c r="M2279" s="1223"/>
      <c r="N2279" s="61"/>
      <c r="O2279" s="61"/>
    </row>
    <row r="2280" spans="1:15" x14ac:dyDescent="0.2">
      <c r="A2280" s="103"/>
      <c r="B2280" s="113"/>
      <c r="C2280" s="122"/>
      <c r="D2280" s="106"/>
      <c r="E2280" s="250"/>
      <c r="F2280" s="124">
        <v>399</v>
      </c>
      <c r="G2280" s="95">
        <v>424</v>
      </c>
      <c r="H2280" s="89" t="s">
        <v>1028</v>
      </c>
      <c r="I2280" s="160">
        <v>60000000</v>
      </c>
      <c r="J2280" s="160"/>
      <c r="K2280" s="160">
        <f>SUM(I2280+J2280)</f>
        <v>60000000</v>
      </c>
    </row>
    <row r="2281" spans="1:15" s="642" customFormat="1" x14ac:dyDescent="0.2">
      <c r="A2281" s="99"/>
      <c r="B2281" s="111"/>
      <c r="C2281" s="119"/>
      <c r="E2281" s="176"/>
      <c r="F2281" s="1"/>
      <c r="G2281" s="38" t="s">
        <v>39</v>
      </c>
      <c r="H2281" s="90" t="s">
        <v>40</v>
      </c>
      <c r="I2281" s="160">
        <f>SUM(I2283-I2282)</f>
        <v>7250909.0200000033</v>
      </c>
      <c r="J2281" s="160"/>
      <c r="K2281" s="160">
        <f>SUM(I2281:J2281)</f>
        <v>7250909.0200000033</v>
      </c>
      <c r="L2281" s="27"/>
      <c r="M2281" s="1223"/>
      <c r="N2281" s="61"/>
      <c r="O2281" s="61"/>
    </row>
    <row r="2282" spans="1:15" s="642" customFormat="1" x14ac:dyDescent="0.2">
      <c r="A2282" s="102"/>
      <c r="B2282" s="890"/>
      <c r="C2282" s="116"/>
      <c r="D2282" s="108"/>
      <c r="E2282" s="248"/>
      <c r="F2282" s="1"/>
      <c r="G2282" s="38" t="s">
        <v>1141</v>
      </c>
      <c r="H2282" s="90" t="s">
        <v>1142</v>
      </c>
      <c r="I2282" s="160">
        <v>57750090.979999997</v>
      </c>
      <c r="J2282" s="160"/>
      <c r="K2282" s="160">
        <f>SUM(I2282:J2282)</f>
        <v>57750090.979999997</v>
      </c>
      <c r="L2282" s="891"/>
      <c r="M2282" s="1223"/>
      <c r="N2282" s="61"/>
      <c r="O2282" s="61"/>
    </row>
    <row r="2283" spans="1:15" s="642" customFormat="1" x14ac:dyDescent="0.2">
      <c r="A2283" s="99"/>
      <c r="B2283" s="111"/>
      <c r="C2283" s="119"/>
      <c r="D2283" s="99"/>
      <c r="E2283" s="176"/>
      <c r="F2283" s="1"/>
      <c r="G2283" s="1"/>
      <c r="H2283" s="97" t="s">
        <v>943</v>
      </c>
      <c r="I2283" s="162">
        <f>SUM(I2278:I2280)</f>
        <v>65001000</v>
      </c>
      <c r="J2283" s="162"/>
      <c r="K2283" s="162">
        <f>SUM(K2281)</f>
        <v>7250909.0200000033</v>
      </c>
      <c r="L2283" s="27"/>
      <c r="M2283" s="1223"/>
      <c r="N2283" s="61"/>
      <c r="O2283" s="61"/>
    </row>
    <row r="2284" spans="1:15" s="642" customFormat="1" x14ac:dyDescent="0.2">
      <c r="A2284" s="99"/>
      <c r="B2284" s="111"/>
      <c r="C2284" s="119"/>
      <c r="D2284" s="99"/>
      <c r="E2284" s="1312"/>
      <c r="F2284" s="46"/>
      <c r="G2284" s="46"/>
      <c r="H2284" s="405"/>
      <c r="I2284" s="230"/>
      <c r="J2284" s="230"/>
      <c r="K2284" s="406"/>
      <c r="L2284" s="27"/>
      <c r="M2284" s="1223"/>
      <c r="N2284" s="61"/>
      <c r="O2284" s="61"/>
    </row>
    <row r="2285" spans="1:15" s="642" customFormat="1" x14ac:dyDescent="0.2">
      <c r="A2285" s="102"/>
      <c r="B2285" s="890"/>
      <c r="C2285" s="116"/>
      <c r="D2285" s="98">
        <v>1102</v>
      </c>
      <c r="E2285" s="126"/>
      <c r="F2285" s="1"/>
      <c r="G2285" s="1"/>
      <c r="H2285" s="220" t="s">
        <v>560</v>
      </c>
      <c r="I2285" s="221">
        <f>SUM(I2317+I2310+I2295+I2302)</f>
        <v>144002000</v>
      </c>
      <c r="J2285" s="221"/>
      <c r="K2285" s="222">
        <f>SUM(I2285:J2285)</f>
        <v>144002000</v>
      </c>
      <c r="L2285" s="891"/>
      <c r="M2285" s="1223"/>
      <c r="N2285" s="61"/>
      <c r="O2285" s="61"/>
    </row>
    <row r="2286" spans="1:15" s="896" customFormat="1" x14ac:dyDescent="0.2">
      <c r="A2286" s="98"/>
      <c r="B2286" s="111"/>
      <c r="C2286" s="111">
        <v>560</v>
      </c>
      <c r="D2286" s="98"/>
      <c r="E2286" s="128"/>
      <c r="F2286" s="37"/>
      <c r="G2286" s="37"/>
      <c r="H2286" s="452"/>
      <c r="I2286" s="60"/>
      <c r="J2286" s="60"/>
      <c r="K2286" s="200"/>
      <c r="L2286" s="27"/>
      <c r="M2286" s="1225"/>
      <c r="N2286" s="895"/>
      <c r="O2286" s="895"/>
    </row>
    <row r="2287" spans="1:15" s="642" customFormat="1" x14ac:dyDescent="0.2">
      <c r="A2287" s="98"/>
      <c r="B2287" s="111"/>
      <c r="C2287" s="111"/>
      <c r="D2287" s="98"/>
      <c r="E2287" s="128"/>
      <c r="F2287" s="1"/>
      <c r="G2287" s="38"/>
      <c r="H2287" s="136" t="s">
        <v>294</v>
      </c>
      <c r="I2287" s="180"/>
      <c r="J2287" s="180"/>
      <c r="K2287" s="140"/>
      <c r="L2287" s="27"/>
      <c r="M2287" s="1223"/>
      <c r="N2287" s="61"/>
      <c r="O2287" s="61"/>
    </row>
    <row r="2288" spans="1:15" s="642" customFormat="1" x14ac:dyDescent="0.2">
      <c r="A2288" s="101"/>
      <c r="B2288" s="781"/>
      <c r="C2288" s="121"/>
      <c r="D2288" s="583"/>
      <c r="E2288" s="128" t="s">
        <v>568</v>
      </c>
      <c r="F2288" s="1"/>
      <c r="G2288" s="40"/>
      <c r="H2288" s="137" t="s">
        <v>569</v>
      </c>
      <c r="I2288" s="141"/>
      <c r="J2288" s="141"/>
      <c r="K2288" s="793"/>
      <c r="L2288" s="27"/>
      <c r="M2288" s="1223"/>
      <c r="N2288" s="61"/>
      <c r="O2288" s="61"/>
    </row>
    <row r="2289" spans="1:15" s="896" customFormat="1" x14ac:dyDescent="0.2">
      <c r="A2289" s="99"/>
      <c r="B2289" s="111"/>
      <c r="C2289" s="119"/>
      <c r="D2289" s="94"/>
      <c r="E2289" s="176"/>
      <c r="F2289" s="37"/>
      <c r="G2289" s="28"/>
      <c r="H2289" s="29"/>
      <c r="I2289" s="62"/>
      <c r="J2289" s="62"/>
      <c r="K2289" s="288"/>
      <c r="L2289" s="27"/>
      <c r="M2289" s="1225"/>
      <c r="N2289" s="895"/>
      <c r="O2289" s="895"/>
    </row>
    <row r="2290" spans="1:15" s="896" customFormat="1" x14ac:dyDescent="0.2">
      <c r="A2290" s="99"/>
      <c r="B2290" s="111"/>
      <c r="C2290" s="119"/>
      <c r="D2290" s="94"/>
      <c r="E2290" s="176"/>
      <c r="F2290" s="39"/>
      <c r="G2290" s="39"/>
      <c r="H2290" s="168" t="s">
        <v>389</v>
      </c>
      <c r="I2290" s="163"/>
      <c r="J2290" s="163"/>
      <c r="K2290" s="164"/>
      <c r="L2290" s="27"/>
      <c r="M2290" s="1225"/>
      <c r="N2290" s="895"/>
      <c r="O2290" s="895"/>
    </row>
    <row r="2291" spans="1:15" s="642" customFormat="1" x14ac:dyDescent="0.2">
      <c r="A2291" s="101"/>
      <c r="B2291" s="781"/>
      <c r="C2291" s="121"/>
      <c r="D2291" s="101"/>
      <c r="E2291" s="177"/>
      <c r="F2291" s="39"/>
      <c r="G2291" s="39"/>
      <c r="H2291" s="56"/>
      <c r="I2291" s="48"/>
      <c r="J2291" s="48"/>
      <c r="K2291" s="205"/>
      <c r="L2291" s="27"/>
      <c r="M2291" s="1223"/>
      <c r="N2291" s="61"/>
      <c r="O2291" s="61"/>
    </row>
    <row r="2292" spans="1:15" x14ac:dyDescent="0.2">
      <c r="A2292" s="103"/>
      <c r="B2292" s="113"/>
      <c r="C2292" s="122"/>
      <c r="D2292" s="103"/>
      <c r="E2292" s="250"/>
      <c r="F2292" s="124">
        <v>400</v>
      </c>
      <c r="G2292" s="95">
        <v>424</v>
      </c>
      <c r="H2292" s="18" t="s">
        <v>407</v>
      </c>
      <c r="I2292" s="160">
        <v>134000000</v>
      </c>
      <c r="J2292" s="160"/>
      <c r="K2292" s="160">
        <f>SUM(I2292+J2292)</f>
        <v>134000000</v>
      </c>
    </row>
    <row r="2293" spans="1:15" s="642" customFormat="1" x14ac:dyDescent="0.2">
      <c r="A2293" s="99"/>
      <c r="B2293" s="111"/>
      <c r="C2293" s="119"/>
      <c r="D2293" s="99"/>
      <c r="E2293" s="1312"/>
      <c r="F2293" s="1"/>
      <c r="G2293" s="38" t="s">
        <v>39</v>
      </c>
      <c r="H2293" s="90" t="s">
        <v>40</v>
      </c>
      <c r="I2293" s="160">
        <f>SUM(I2292-I2294)</f>
        <v>69994476.520000011</v>
      </c>
      <c r="J2293" s="160"/>
      <c r="K2293" s="160">
        <f>SUM(I2293:J2293)</f>
        <v>69994476.520000011</v>
      </c>
      <c r="L2293" s="27"/>
      <c r="M2293" s="1223"/>
      <c r="N2293" s="61"/>
      <c r="O2293" s="61"/>
    </row>
    <row r="2294" spans="1:15" s="642" customFormat="1" x14ac:dyDescent="0.2">
      <c r="A2294" s="99"/>
      <c r="B2294" s="111"/>
      <c r="C2294" s="119"/>
      <c r="D2294" s="99"/>
      <c r="E2294" s="176"/>
      <c r="F2294" s="1"/>
      <c r="G2294" s="38" t="s">
        <v>1141</v>
      </c>
      <c r="H2294" s="90" t="s">
        <v>1142</v>
      </c>
      <c r="I2294" s="160">
        <v>64005523.479999997</v>
      </c>
      <c r="J2294" s="160"/>
      <c r="K2294" s="160">
        <f>SUM(I2294:J2294)</f>
        <v>64005523.479999997</v>
      </c>
      <c r="L2294" s="27"/>
      <c r="M2294" s="1223"/>
      <c r="N2294" s="61"/>
      <c r="O2294" s="61"/>
    </row>
    <row r="2295" spans="1:15" s="642" customFormat="1" x14ac:dyDescent="0.2">
      <c r="A2295" s="99"/>
      <c r="B2295" s="111"/>
      <c r="C2295" s="119"/>
      <c r="D2295" s="99"/>
      <c r="E2295" s="176"/>
      <c r="F2295" s="42"/>
      <c r="G2295" s="43"/>
      <c r="H2295" s="97" t="s">
        <v>799</v>
      </c>
      <c r="I2295" s="162">
        <f>SUM(I2293:I2294)</f>
        <v>134000000</v>
      </c>
      <c r="J2295" s="162"/>
      <c r="K2295" s="162">
        <f>SUM(I2295:J2295)</f>
        <v>134000000</v>
      </c>
      <c r="L2295" s="27"/>
      <c r="M2295" s="1223"/>
      <c r="N2295" s="61"/>
      <c r="O2295" s="61"/>
    </row>
    <row r="2296" spans="1:15" s="642" customFormat="1" x14ac:dyDescent="0.2">
      <c r="A2296" s="99"/>
      <c r="B2296" s="111"/>
      <c r="C2296" s="119"/>
      <c r="D2296" s="99"/>
      <c r="E2296" s="176"/>
      <c r="F2296" s="46"/>
      <c r="G2296" s="64"/>
      <c r="H2296" s="70"/>
      <c r="I2296" s="229"/>
      <c r="J2296" s="229"/>
      <c r="K2296" s="384"/>
      <c r="L2296" s="27"/>
      <c r="M2296" s="1223"/>
      <c r="N2296" s="61"/>
      <c r="O2296" s="61"/>
    </row>
    <row r="2297" spans="1:15" s="642" customFormat="1" x14ac:dyDescent="0.2">
      <c r="A2297" s="99"/>
      <c r="B2297" s="111"/>
      <c r="C2297" s="119"/>
      <c r="D2297" s="99"/>
      <c r="E2297" s="176"/>
      <c r="F2297" s="1"/>
      <c r="G2297" s="38"/>
      <c r="H2297" s="136" t="s">
        <v>511</v>
      </c>
      <c r="I2297" s="180"/>
      <c r="J2297" s="180"/>
      <c r="K2297" s="140"/>
      <c r="L2297" s="27"/>
      <c r="M2297" s="1223"/>
      <c r="N2297" s="61"/>
      <c r="O2297" s="61"/>
    </row>
    <row r="2298" spans="1:15" s="642" customFormat="1" x14ac:dyDescent="0.2">
      <c r="A2298" s="99"/>
      <c r="B2298" s="111"/>
      <c r="C2298" s="119"/>
      <c r="D2298" s="99"/>
      <c r="E2298" s="128" t="s">
        <v>1061</v>
      </c>
      <c r="F2298" s="1"/>
      <c r="G2298" s="38"/>
      <c r="H2298" s="137" t="s">
        <v>1062</v>
      </c>
      <c r="I2298" s="141"/>
      <c r="J2298" s="141"/>
      <c r="K2298" s="793"/>
      <c r="L2298" s="27"/>
      <c r="M2298" s="1223"/>
      <c r="N2298" s="61"/>
      <c r="O2298" s="61"/>
    </row>
    <row r="2299" spans="1:15" s="642" customFormat="1" x14ac:dyDescent="0.2">
      <c r="A2299" s="102"/>
      <c r="B2299" s="890"/>
      <c r="C2299" s="116"/>
      <c r="D2299" s="102"/>
      <c r="E2299" s="248"/>
      <c r="F2299" s="1"/>
      <c r="G2299" s="38"/>
      <c r="H2299" s="29"/>
      <c r="I2299" s="60"/>
      <c r="J2299" s="60"/>
      <c r="K2299" s="200"/>
      <c r="L2299" s="891"/>
      <c r="M2299" s="1223"/>
      <c r="N2299" s="61"/>
      <c r="O2299" s="61"/>
    </row>
    <row r="2300" spans="1:15" s="642" customFormat="1" x14ac:dyDescent="0.2">
      <c r="A2300" s="99"/>
      <c r="B2300" s="111"/>
      <c r="C2300" s="111">
        <v>560</v>
      </c>
      <c r="D2300" s="98"/>
      <c r="E2300" s="128"/>
      <c r="F2300" s="124" t="s">
        <v>1063</v>
      </c>
      <c r="G2300" s="95">
        <v>424</v>
      </c>
      <c r="H2300" s="18" t="s">
        <v>520</v>
      </c>
      <c r="I2300" s="160">
        <v>10000000</v>
      </c>
      <c r="J2300" s="160"/>
      <c r="K2300" s="160">
        <f>SUM(I2300+J2300)</f>
        <v>10000000</v>
      </c>
      <c r="L2300" s="27"/>
      <c r="M2300" s="1223"/>
      <c r="N2300" s="61"/>
      <c r="O2300" s="61"/>
    </row>
    <row r="2301" spans="1:15" x14ac:dyDescent="0.2">
      <c r="A2301" s="103"/>
      <c r="B2301" s="113"/>
      <c r="C2301" s="122"/>
      <c r="D2301" s="106"/>
      <c r="E2301" s="250"/>
      <c r="F2301" s="1"/>
      <c r="G2301" s="38" t="s">
        <v>39</v>
      </c>
      <c r="H2301" s="90" t="s">
        <v>40</v>
      </c>
      <c r="I2301" s="160">
        <f>SUM(I2300)</f>
        <v>10000000</v>
      </c>
      <c r="J2301" s="160"/>
      <c r="K2301" s="160">
        <f>SUM(I2301:J2301)</f>
        <v>10000000</v>
      </c>
    </row>
    <row r="2302" spans="1:15" x14ac:dyDescent="0.2">
      <c r="A2302" s="103"/>
      <c r="B2302" s="113"/>
      <c r="C2302" s="122"/>
      <c r="D2302" s="106"/>
      <c r="E2302" s="250"/>
      <c r="F2302" s="42"/>
      <c r="G2302" s="43"/>
      <c r="H2302" s="97" t="s">
        <v>1064</v>
      </c>
      <c r="I2302" s="162">
        <f>SUM(I2301:I2301)</f>
        <v>10000000</v>
      </c>
      <c r="J2302" s="162"/>
      <c r="K2302" s="162">
        <f>SUM(K2301:K2301)</f>
        <v>10000000</v>
      </c>
      <c r="L2302" s="27"/>
    </row>
    <row r="2303" spans="1:15" s="327" customFormat="1" x14ac:dyDescent="0.2">
      <c r="A2303" s="103"/>
      <c r="B2303" s="113"/>
      <c r="C2303" s="122"/>
      <c r="D2303" s="106"/>
      <c r="E2303" s="250"/>
      <c r="F2303" s="37"/>
      <c r="G2303" s="30"/>
      <c r="H2303" s="452"/>
      <c r="I2303" s="60"/>
      <c r="J2303" s="60"/>
      <c r="K2303" s="200"/>
      <c r="L2303" s="27"/>
      <c r="M2303" s="1225"/>
      <c r="N2303" s="326"/>
      <c r="O2303" s="326"/>
    </row>
    <row r="2304" spans="1:15" x14ac:dyDescent="0.2">
      <c r="A2304" s="106"/>
      <c r="B2304" s="113"/>
      <c r="C2304" s="122"/>
      <c r="D2304" s="106"/>
      <c r="E2304" s="250"/>
      <c r="F2304" s="39"/>
      <c r="G2304" s="39"/>
      <c r="H2304" s="168" t="s">
        <v>389</v>
      </c>
      <c r="I2304" s="163"/>
      <c r="J2304" s="163"/>
      <c r="K2304" s="164"/>
      <c r="L2304" s="27"/>
    </row>
    <row r="2305" spans="1:15" x14ac:dyDescent="0.2">
      <c r="A2305" s="110"/>
      <c r="B2305" s="417"/>
      <c r="C2305" s="357"/>
      <c r="D2305" s="418"/>
      <c r="E2305" s="419"/>
      <c r="F2305" s="46"/>
      <c r="G2305" s="46"/>
      <c r="H2305" s="311"/>
      <c r="I2305" s="59"/>
      <c r="J2305" s="59"/>
      <c r="K2305" s="373"/>
      <c r="L2305" s="27"/>
    </row>
    <row r="2306" spans="1:15" x14ac:dyDescent="0.2">
      <c r="A2306" s="107"/>
      <c r="B2306" s="117"/>
      <c r="C2306" s="420"/>
      <c r="D2306" s="132"/>
      <c r="E2306" s="128" t="s">
        <v>559</v>
      </c>
      <c r="F2306" s="1"/>
      <c r="G2306" s="1"/>
      <c r="H2306" s="522" t="s">
        <v>526</v>
      </c>
      <c r="I2306" s="156"/>
      <c r="J2306" s="156"/>
      <c r="K2306" s="157"/>
      <c r="L2306" s="27"/>
    </row>
    <row r="2307" spans="1:15" x14ac:dyDescent="0.2">
      <c r="A2307" s="258"/>
      <c r="B2307" s="439"/>
      <c r="C2307" s="294"/>
      <c r="D2307" s="295"/>
      <c r="E2307" s="435"/>
      <c r="F2307" s="124">
        <v>401</v>
      </c>
      <c r="G2307" s="95">
        <v>424</v>
      </c>
      <c r="H2307" s="18" t="s">
        <v>520</v>
      </c>
      <c r="I2307" s="515">
        <v>1000</v>
      </c>
      <c r="J2307" s="160"/>
      <c r="K2307" s="160">
        <f>SUM(I2307+J2307)</f>
        <v>1000</v>
      </c>
    </row>
    <row r="2308" spans="1:15" s="642" customFormat="1" x14ac:dyDescent="0.2">
      <c r="A2308" s="100"/>
      <c r="B2308" s="787"/>
      <c r="C2308" s="787">
        <v>560</v>
      </c>
      <c r="D2308" s="975"/>
      <c r="E2308" s="976"/>
      <c r="F2308" s="1"/>
      <c r="G2308" s="1"/>
      <c r="H2308" s="97" t="s">
        <v>350</v>
      </c>
      <c r="I2308" s="523">
        <f>SUM(I2307)</f>
        <v>1000</v>
      </c>
      <c r="J2308" s="192"/>
      <c r="K2308" s="192">
        <f>SUM(I2308+J2308)</f>
        <v>1000</v>
      </c>
      <c r="L2308" s="27"/>
      <c r="M2308" s="1223"/>
      <c r="N2308" s="61"/>
      <c r="O2308" s="61"/>
    </row>
    <row r="2309" spans="1:15" s="642" customFormat="1" x14ac:dyDescent="0.2">
      <c r="A2309" s="99"/>
      <c r="B2309" s="111"/>
      <c r="C2309" s="119"/>
      <c r="D2309" s="94"/>
      <c r="E2309" s="1312"/>
      <c r="F2309" s="41"/>
      <c r="G2309" s="45" t="s">
        <v>39</v>
      </c>
      <c r="H2309" s="90" t="s">
        <v>40</v>
      </c>
      <c r="I2309" s="241">
        <f>SUM(I2308)</f>
        <v>1000</v>
      </c>
      <c r="J2309" s="161"/>
      <c r="K2309" s="160">
        <f>SUM(I2309+J2309)</f>
        <v>1000</v>
      </c>
      <c r="L2309" s="27"/>
      <c r="M2309" s="1223"/>
      <c r="N2309" s="61"/>
      <c r="O2309" s="61"/>
    </row>
    <row r="2310" spans="1:15" s="642" customFormat="1" x14ac:dyDescent="0.2">
      <c r="A2310" s="99"/>
      <c r="B2310" s="111"/>
      <c r="C2310" s="119"/>
      <c r="D2310" s="94"/>
      <c r="E2310" s="176"/>
      <c r="F2310" s="42"/>
      <c r="G2310" s="42"/>
      <c r="H2310" s="97" t="s">
        <v>350</v>
      </c>
      <c r="I2310" s="162">
        <f>SUM(I2309:I2309)</f>
        <v>1000</v>
      </c>
      <c r="J2310" s="162"/>
      <c r="K2310" s="162">
        <f>SUM(K2309:K2309)</f>
        <v>1000</v>
      </c>
      <c r="L2310" s="27"/>
      <c r="M2310" s="1223"/>
      <c r="N2310" s="61"/>
      <c r="O2310" s="61"/>
    </row>
    <row r="2311" spans="1:15" s="642" customFormat="1" x14ac:dyDescent="0.2">
      <c r="A2311" s="101"/>
      <c r="B2311" s="781"/>
      <c r="C2311" s="121"/>
      <c r="D2311" s="583"/>
      <c r="E2311" s="177"/>
      <c r="F2311" s="440"/>
      <c r="G2311" s="440"/>
      <c r="H2311" s="441"/>
      <c r="I2311" s="185"/>
      <c r="J2311" s="185"/>
      <c r="K2311" s="407"/>
      <c r="L2311" s="26"/>
      <c r="M2311" s="1223"/>
      <c r="N2311" s="61"/>
      <c r="O2311" s="61"/>
    </row>
    <row r="2312" spans="1:15" s="642" customFormat="1" x14ac:dyDescent="0.2">
      <c r="A2312" s="919"/>
      <c r="B2312" s="787"/>
      <c r="C2312" s="120"/>
      <c r="D2312" s="100"/>
      <c r="E2312" s="246"/>
      <c r="F2312" s="1185"/>
      <c r="G2312" s="1185"/>
      <c r="H2312" s="168" t="s">
        <v>389</v>
      </c>
      <c r="I2312" s="163"/>
      <c r="J2312" s="163"/>
      <c r="K2312" s="164"/>
      <c r="L2312" s="27"/>
      <c r="M2312" s="1223"/>
      <c r="N2312" s="61"/>
      <c r="O2312" s="61"/>
    </row>
    <row r="2313" spans="1:15" s="642" customFormat="1" x14ac:dyDescent="0.2">
      <c r="A2313" s="583"/>
      <c r="B2313" s="781"/>
      <c r="C2313" s="121"/>
      <c r="D2313" s="101"/>
      <c r="E2313" s="177"/>
      <c r="F2313" s="1"/>
      <c r="G2313" s="1"/>
      <c r="H2313" s="50"/>
      <c r="I2313" s="47"/>
      <c r="J2313" s="47"/>
      <c r="K2313" s="199"/>
      <c r="L2313" s="27"/>
      <c r="M2313" s="1223"/>
      <c r="N2313" s="61"/>
      <c r="O2313" s="61"/>
    </row>
    <row r="2314" spans="1:15" s="642" customFormat="1" ht="22.5" x14ac:dyDescent="0.2">
      <c r="A2314" s="99"/>
      <c r="B2314" s="111"/>
      <c r="C2314" s="119"/>
      <c r="D2314" s="99"/>
      <c r="E2314" s="128" t="s">
        <v>559</v>
      </c>
      <c r="F2314" s="1"/>
      <c r="G2314" s="1"/>
      <c r="H2314" s="1178" t="s">
        <v>527</v>
      </c>
      <c r="I2314" s="158"/>
      <c r="J2314" s="158"/>
      <c r="K2314" s="159"/>
      <c r="L2314" s="27"/>
      <c r="M2314" s="1223"/>
      <c r="N2314" s="61"/>
      <c r="O2314" s="61"/>
    </row>
    <row r="2315" spans="1:15" s="642" customFormat="1" x14ac:dyDescent="0.2">
      <c r="A2315" s="99"/>
      <c r="B2315" s="111"/>
      <c r="C2315" s="119"/>
      <c r="D2315" s="99"/>
      <c r="E2315" s="176"/>
      <c r="F2315" s="124">
        <v>402</v>
      </c>
      <c r="G2315" s="95">
        <v>512</v>
      </c>
      <c r="H2315" s="18" t="s">
        <v>21</v>
      </c>
      <c r="I2315" s="160">
        <v>1000</v>
      </c>
      <c r="J2315" s="160"/>
      <c r="K2315" s="160">
        <f>SUM(I2315+J2315)</f>
        <v>1000</v>
      </c>
      <c r="L2315" s="27"/>
      <c r="M2315" s="1223"/>
      <c r="N2315" s="61"/>
      <c r="O2315" s="61"/>
    </row>
    <row r="2316" spans="1:15" s="642" customFormat="1" x14ac:dyDescent="0.2">
      <c r="A2316" s="101"/>
      <c r="B2316" s="781"/>
      <c r="C2316" s="121"/>
      <c r="D2316" s="101"/>
      <c r="E2316" s="177"/>
      <c r="F2316" s="41"/>
      <c r="G2316" s="45" t="s">
        <v>39</v>
      </c>
      <c r="H2316" s="90" t="s">
        <v>40</v>
      </c>
      <c r="I2316" s="241">
        <f>SUM(I2315)</f>
        <v>1000</v>
      </c>
      <c r="J2316" s="161"/>
      <c r="K2316" s="160">
        <f>SUM(I2316+J2316)</f>
        <v>1000</v>
      </c>
      <c r="L2316" s="27"/>
      <c r="M2316" s="1223"/>
      <c r="N2316" s="61"/>
      <c r="O2316" s="61"/>
    </row>
    <row r="2317" spans="1:15" x14ac:dyDescent="0.2">
      <c r="A2317" s="106"/>
      <c r="B2317" s="115"/>
      <c r="C2317" s="421"/>
      <c r="D2317" s="131"/>
      <c r="E2317" s="395"/>
      <c r="F2317" s="42"/>
      <c r="G2317" s="42"/>
      <c r="H2317" s="97" t="s">
        <v>351</v>
      </c>
      <c r="I2317" s="162">
        <f>SUM(I2316:I2316)</f>
        <v>1000</v>
      </c>
      <c r="J2317" s="162"/>
      <c r="K2317" s="162">
        <f>SUM(K2316:K2316)</f>
        <v>1000</v>
      </c>
    </row>
    <row r="2318" spans="1:15" s="642" customFormat="1" x14ac:dyDescent="0.2">
      <c r="A2318" s="788"/>
      <c r="B2318" s="789"/>
      <c r="C2318" s="790"/>
      <c r="E2318" s="767"/>
      <c r="F2318" s="1"/>
      <c r="G2318" s="1"/>
      <c r="H2318" s="138" t="s">
        <v>159</v>
      </c>
      <c r="I2318" s="163"/>
      <c r="J2318" s="163"/>
      <c r="K2318" s="164"/>
      <c r="L2318" s="887"/>
      <c r="M2318" s="1223"/>
      <c r="N2318" s="61"/>
      <c r="O2318" s="61"/>
    </row>
    <row r="2319" spans="1:15" s="642" customFormat="1" x14ac:dyDescent="0.2">
      <c r="A2319" s="99"/>
      <c r="B2319" s="111"/>
      <c r="C2319" s="119"/>
      <c r="D2319" s="99"/>
      <c r="E2319" s="1312"/>
      <c r="F2319" s="296"/>
      <c r="G2319" s="296"/>
      <c r="H2319" s="422"/>
      <c r="I2319" s="59"/>
      <c r="J2319" s="59"/>
      <c r="K2319" s="373"/>
      <c r="L2319" s="27"/>
      <c r="M2319" s="1223"/>
      <c r="N2319" s="61"/>
      <c r="O2319" s="61"/>
    </row>
    <row r="2320" spans="1:15" s="893" customFormat="1" ht="22.5" x14ac:dyDescent="0.2">
      <c r="A2320" s="788"/>
      <c r="B2320" s="789"/>
      <c r="C2320" s="790"/>
      <c r="D2320" s="148" t="s">
        <v>310</v>
      </c>
      <c r="E2320" s="148"/>
      <c r="F2320" s="134"/>
      <c r="G2320" s="135"/>
      <c r="H2320" s="988" t="s">
        <v>557</v>
      </c>
      <c r="I2320" s="221">
        <f>SUM(I2352)</f>
        <v>28600000</v>
      </c>
      <c r="J2320" s="221"/>
      <c r="K2320" s="222">
        <f>SUM(I2320:J2320)</f>
        <v>28600000</v>
      </c>
      <c r="L2320" s="887"/>
      <c r="M2320" s="1224"/>
      <c r="N2320" s="892"/>
      <c r="O2320" s="892"/>
    </row>
    <row r="2321" spans="1:15" s="893" customFormat="1" x14ac:dyDescent="0.2">
      <c r="A2321" s="99"/>
      <c r="B2321" s="111"/>
      <c r="C2321" s="111">
        <v>360</v>
      </c>
      <c r="D2321" s="98"/>
      <c r="E2321" s="128"/>
      <c r="F2321" s="134"/>
      <c r="G2321" s="135"/>
      <c r="H2321" s="914"/>
      <c r="I2321" s="149"/>
      <c r="J2321" s="149"/>
      <c r="K2321" s="198"/>
      <c r="L2321" s="27"/>
      <c r="M2321" s="1224"/>
      <c r="N2321" s="892"/>
      <c r="O2321" s="892"/>
    </row>
    <row r="2322" spans="1:15" s="642" customFormat="1" x14ac:dyDescent="0.2">
      <c r="A2322" s="99"/>
      <c r="B2322" s="111"/>
      <c r="C2322" s="111"/>
      <c r="D2322" s="98"/>
      <c r="E2322" s="128"/>
      <c r="F2322" s="1"/>
      <c r="G2322" s="38"/>
      <c r="H2322" s="136" t="s">
        <v>294</v>
      </c>
      <c r="I2322" s="139"/>
      <c r="J2322" s="180"/>
      <c r="K2322" s="140"/>
      <c r="L2322" s="27"/>
      <c r="M2322" s="1223"/>
      <c r="N2322" s="61"/>
      <c r="O2322" s="61"/>
    </row>
    <row r="2323" spans="1:15" s="642" customFormat="1" x14ac:dyDescent="0.2">
      <c r="A2323" s="99"/>
      <c r="B2323" s="111"/>
      <c r="C2323" s="111"/>
      <c r="D2323" s="98"/>
      <c r="E2323" s="128" t="s">
        <v>311</v>
      </c>
      <c r="F2323" s="1"/>
      <c r="G2323" s="40"/>
      <c r="H2323" s="137" t="s">
        <v>817</v>
      </c>
      <c r="I2323" s="186"/>
      <c r="J2323" s="141"/>
      <c r="K2323" s="181"/>
      <c r="L2323" s="27"/>
      <c r="M2323" s="1223"/>
      <c r="N2323" s="61"/>
      <c r="O2323" s="61"/>
    </row>
    <row r="2324" spans="1:15" s="893" customFormat="1" x14ac:dyDescent="0.2">
      <c r="A2324" s="99"/>
      <c r="B2324" s="111"/>
      <c r="C2324" s="111"/>
      <c r="D2324" s="98"/>
      <c r="E2324" s="128"/>
      <c r="F2324" s="134"/>
      <c r="G2324" s="165"/>
      <c r="H2324" s="144"/>
      <c r="I2324" s="149"/>
      <c r="J2324" s="145"/>
      <c r="K2324" s="198"/>
      <c r="L2324" s="27"/>
      <c r="M2324" s="1224"/>
      <c r="N2324" s="892"/>
      <c r="O2324" s="892"/>
    </row>
    <row r="2325" spans="1:15" s="642" customFormat="1" x14ac:dyDescent="0.2">
      <c r="A2325" s="99"/>
      <c r="B2325" s="111"/>
      <c r="C2325" s="111"/>
      <c r="D2325" s="98"/>
      <c r="E2325" s="128"/>
      <c r="F2325" s="1"/>
      <c r="G2325" s="38"/>
      <c r="H2325" s="138" t="s">
        <v>205</v>
      </c>
      <c r="I2325" s="171"/>
      <c r="J2325" s="163"/>
      <c r="K2325" s="172"/>
      <c r="L2325" s="27"/>
      <c r="M2325" s="1223"/>
      <c r="N2325" s="61"/>
      <c r="O2325" s="61"/>
    </row>
    <row r="2326" spans="1:15" s="642" customFormat="1" x14ac:dyDescent="0.2">
      <c r="A2326" s="99"/>
      <c r="B2326" s="111"/>
      <c r="C2326" s="119"/>
      <c r="D2326" s="99"/>
      <c r="E2326" s="176"/>
      <c r="F2326" s="1"/>
      <c r="G2326" s="38"/>
      <c r="H2326" s="44"/>
      <c r="I2326" s="47"/>
      <c r="J2326" s="48"/>
      <c r="K2326" s="199"/>
      <c r="L2326" s="27"/>
      <c r="M2326" s="1223"/>
      <c r="N2326" s="61"/>
      <c r="O2326" s="61"/>
    </row>
    <row r="2327" spans="1:15" s="642" customFormat="1" x14ac:dyDescent="0.2">
      <c r="A2327" s="101"/>
      <c r="B2327" s="781"/>
      <c r="C2327" s="121"/>
      <c r="D2327" s="101"/>
      <c r="E2327" s="177"/>
      <c r="F2327" s="95">
        <v>403</v>
      </c>
      <c r="G2327" s="154" t="s">
        <v>51</v>
      </c>
      <c r="H2327" s="90" t="s">
        <v>10</v>
      </c>
      <c r="I2327" s="160">
        <v>8900000</v>
      </c>
      <c r="J2327" s="160"/>
      <c r="K2327" s="160">
        <f>SUM(I2327:J2327)</f>
        <v>8900000</v>
      </c>
      <c r="L2327" s="27"/>
      <c r="M2327" s="1223"/>
      <c r="N2327" s="61"/>
      <c r="O2327" s="61"/>
    </row>
    <row r="2328" spans="1:15" s="642" customFormat="1" x14ac:dyDescent="0.2">
      <c r="A2328" s="99"/>
      <c r="B2328" s="111"/>
      <c r="C2328" s="119"/>
      <c r="D2328" s="99"/>
      <c r="E2328" s="176"/>
      <c r="F2328" s="95">
        <v>404</v>
      </c>
      <c r="G2328" s="154" t="s">
        <v>280</v>
      </c>
      <c r="H2328" s="90" t="s">
        <v>11</v>
      </c>
      <c r="I2328" s="160">
        <v>1000000</v>
      </c>
      <c r="J2328" s="160"/>
      <c r="K2328" s="160">
        <f t="shared" ref="K2328:K2329" si="109">SUM(I2328:J2328)</f>
        <v>1000000</v>
      </c>
      <c r="L2328" s="27"/>
      <c r="M2328" s="1223"/>
      <c r="N2328" s="61"/>
      <c r="O2328" s="61"/>
    </row>
    <row r="2329" spans="1:15" s="642" customFormat="1" x14ac:dyDescent="0.2">
      <c r="A2329" s="99"/>
      <c r="B2329" s="111"/>
      <c r="C2329" s="119"/>
      <c r="D2329" s="99"/>
      <c r="E2329" s="176"/>
      <c r="F2329" s="95">
        <v>405</v>
      </c>
      <c r="G2329" s="154" t="s">
        <v>331</v>
      </c>
      <c r="H2329" s="90" t="s">
        <v>36</v>
      </c>
      <c r="I2329" s="160">
        <v>1000000</v>
      </c>
      <c r="J2329" s="160"/>
      <c r="K2329" s="160">
        <f t="shared" si="109"/>
        <v>1000000</v>
      </c>
      <c r="L2329" s="27"/>
      <c r="M2329" s="1223"/>
      <c r="N2329" s="61"/>
      <c r="O2329" s="61"/>
    </row>
    <row r="2330" spans="1:15" s="642" customFormat="1" x14ac:dyDescent="0.2">
      <c r="A2330" s="99"/>
      <c r="B2330" s="111"/>
      <c r="C2330" s="119"/>
      <c r="D2330" s="99"/>
      <c r="E2330" s="176"/>
      <c r="F2330" s="124">
        <v>406</v>
      </c>
      <c r="G2330" s="154" t="s">
        <v>699</v>
      </c>
      <c r="H2330" s="89" t="s">
        <v>21</v>
      </c>
      <c r="I2330" s="160">
        <v>3400000</v>
      </c>
      <c r="J2330" s="160"/>
      <c r="K2330" s="160">
        <f>SUM(I2330+J2330)</f>
        <v>3400000</v>
      </c>
      <c r="L2330" s="27"/>
      <c r="M2330" s="1223"/>
      <c r="N2330" s="61"/>
      <c r="O2330" s="61"/>
    </row>
    <row r="2331" spans="1:15" s="642" customFormat="1" x14ac:dyDescent="0.2">
      <c r="A2331" s="101"/>
      <c r="B2331" s="781"/>
      <c r="C2331" s="121"/>
      <c r="D2331" s="101"/>
      <c r="E2331" s="177"/>
      <c r="F2331" s="42"/>
      <c r="G2331" s="43"/>
      <c r="H2331" s="97" t="s">
        <v>783</v>
      </c>
      <c r="I2331" s="162">
        <f>SUM(I2327:I2330)</f>
        <v>14300000</v>
      </c>
      <c r="J2331" s="162"/>
      <c r="K2331" s="162">
        <f>SUM(I2331:J2331)</f>
        <v>14300000</v>
      </c>
      <c r="L2331" s="27"/>
      <c r="M2331" s="1223"/>
      <c r="N2331" s="61"/>
      <c r="O2331" s="61"/>
    </row>
    <row r="2332" spans="1:15" x14ac:dyDescent="0.2">
      <c r="A2332" s="381"/>
      <c r="B2332" s="382"/>
      <c r="C2332" s="383"/>
      <c r="D2332" s="381"/>
      <c r="E2332" s="251"/>
      <c r="F2332" s="1"/>
      <c r="G2332" s="1"/>
      <c r="H2332" s="138" t="s">
        <v>206</v>
      </c>
      <c r="I2332" s="163"/>
      <c r="J2332" s="163"/>
      <c r="K2332" s="164"/>
      <c r="L2332" s="361"/>
    </row>
    <row r="2333" spans="1:15" s="642" customFormat="1" ht="15" x14ac:dyDescent="0.2">
      <c r="A2333" s="99"/>
      <c r="B2333" s="890"/>
      <c r="C2333" s="978"/>
      <c r="D2333" s="94"/>
      <c r="E2333" s="1312"/>
      <c r="F2333" s="1"/>
      <c r="G2333" s="38" t="s">
        <v>39</v>
      </c>
      <c r="H2333" s="90" t="s">
        <v>40</v>
      </c>
      <c r="I2333" s="160">
        <f>SUM(I2335-I2334)</f>
        <v>5276248.7100000009</v>
      </c>
      <c r="J2333" s="160"/>
      <c r="K2333" s="160">
        <f>SUM(I2333:J2333)</f>
        <v>5276248.7100000009</v>
      </c>
      <c r="L2333" s="27"/>
      <c r="M2333" s="1223"/>
      <c r="N2333" s="61"/>
      <c r="O2333" s="61"/>
    </row>
    <row r="2334" spans="1:15" s="642" customFormat="1" ht="15" x14ac:dyDescent="0.2">
      <c r="A2334" s="99"/>
      <c r="B2334" s="890"/>
      <c r="C2334" s="978"/>
      <c r="D2334" s="94"/>
      <c r="E2334" s="483"/>
      <c r="F2334" s="1"/>
      <c r="G2334" s="38" t="s">
        <v>1141</v>
      </c>
      <c r="H2334" s="90" t="s">
        <v>1142</v>
      </c>
      <c r="I2334" s="160">
        <v>9023751.2899999991</v>
      </c>
      <c r="J2334" s="160"/>
      <c r="K2334" s="160">
        <f>SUM(I2334:J2334)</f>
        <v>9023751.2899999991</v>
      </c>
      <c r="L2334" s="27"/>
      <c r="M2334" s="1223"/>
      <c r="N2334" s="61"/>
      <c r="O2334" s="61"/>
    </row>
    <row r="2335" spans="1:15" s="642" customFormat="1" ht="15" x14ac:dyDescent="0.2">
      <c r="A2335" s="99"/>
      <c r="B2335" s="890"/>
      <c r="C2335" s="978"/>
      <c r="D2335" s="94"/>
      <c r="E2335" s="483"/>
      <c r="F2335" s="42"/>
      <c r="G2335" s="43"/>
      <c r="H2335" s="97" t="s">
        <v>270</v>
      </c>
      <c r="I2335" s="162">
        <f>SUM(I2331)</f>
        <v>14300000</v>
      </c>
      <c r="J2335" s="162"/>
      <c r="K2335" s="162">
        <f>SUM(I2335:J2335)</f>
        <v>14300000</v>
      </c>
      <c r="L2335" s="27"/>
      <c r="M2335" s="1223"/>
      <c r="N2335" s="61"/>
      <c r="O2335" s="61"/>
    </row>
    <row r="2336" spans="1:15" s="896" customFormat="1" ht="15" x14ac:dyDescent="0.2">
      <c r="A2336" s="99"/>
      <c r="B2336" s="890"/>
      <c r="C2336" s="978"/>
      <c r="D2336" s="94"/>
      <c r="E2336" s="483"/>
      <c r="F2336" s="54"/>
      <c r="G2336" s="67"/>
      <c r="H2336" s="347"/>
      <c r="I2336" s="66"/>
      <c r="J2336" s="229"/>
      <c r="K2336" s="384"/>
      <c r="L2336" s="27"/>
      <c r="M2336" s="1225"/>
      <c r="N2336" s="895"/>
      <c r="O2336" s="895"/>
    </row>
    <row r="2337" spans="1:16" s="642" customFormat="1" ht="15" x14ac:dyDescent="0.2">
      <c r="A2337" s="99"/>
      <c r="B2337" s="111"/>
      <c r="C2337" s="978"/>
      <c r="D2337" s="98"/>
      <c r="E2337" s="483" t="s">
        <v>310</v>
      </c>
      <c r="F2337" s="37"/>
      <c r="G2337" s="30"/>
      <c r="H2337" s="1004" t="s">
        <v>340</v>
      </c>
      <c r="I2337" s="189"/>
      <c r="J2337" s="1186"/>
      <c r="K2337" s="1187"/>
      <c r="L2337" s="27"/>
      <c r="M2337" s="1223"/>
      <c r="N2337" s="61"/>
      <c r="O2337" s="61"/>
    </row>
    <row r="2338" spans="1:16" s="642" customFormat="1" ht="15" x14ac:dyDescent="0.2">
      <c r="A2338" s="99"/>
      <c r="B2338" s="111"/>
      <c r="C2338" s="978"/>
      <c r="D2338" s="98"/>
      <c r="E2338" s="128"/>
      <c r="F2338" s="37"/>
      <c r="G2338" s="30"/>
      <c r="H2338" s="29"/>
      <c r="I2338" s="62"/>
      <c r="J2338" s="31"/>
      <c r="K2338" s="197"/>
      <c r="L2338" s="27"/>
      <c r="M2338" s="1223"/>
      <c r="N2338" s="61"/>
      <c r="O2338" s="61"/>
    </row>
    <row r="2339" spans="1:16" s="642" customFormat="1" ht="15" x14ac:dyDescent="0.2">
      <c r="A2339" s="99"/>
      <c r="B2339" s="111"/>
      <c r="C2339" s="978"/>
      <c r="D2339" s="98"/>
      <c r="E2339" s="128"/>
      <c r="F2339" s="212">
        <v>407</v>
      </c>
      <c r="G2339" s="193" t="s">
        <v>516</v>
      </c>
      <c r="H2339" s="89" t="s">
        <v>6</v>
      </c>
      <c r="I2339" s="187">
        <v>1170000</v>
      </c>
      <c r="J2339" s="151"/>
      <c r="K2339" s="133">
        <f>SUM(I2339+J2339)</f>
        <v>1170000</v>
      </c>
      <c r="L2339" s="27"/>
      <c r="M2339" s="1223"/>
      <c r="N2339" s="61"/>
      <c r="O2339" s="61"/>
    </row>
    <row r="2340" spans="1:16" s="642" customFormat="1" ht="15" x14ac:dyDescent="0.2">
      <c r="A2340" s="99"/>
      <c r="B2340" s="111"/>
      <c r="C2340" s="978"/>
      <c r="D2340" s="98"/>
      <c r="E2340" s="128"/>
      <c r="F2340" s="212">
        <v>408</v>
      </c>
      <c r="G2340" s="193" t="s">
        <v>746</v>
      </c>
      <c r="H2340" s="89" t="s">
        <v>7</v>
      </c>
      <c r="I2340" s="187">
        <v>500000</v>
      </c>
      <c r="J2340" s="151"/>
      <c r="K2340" s="133">
        <f t="shared" ref="K2340:K2343" si="110">SUM(I2340+J2340)</f>
        <v>500000</v>
      </c>
      <c r="L2340" s="27"/>
      <c r="M2340" s="1223"/>
      <c r="N2340" s="61"/>
      <c r="O2340" s="61"/>
    </row>
    <row r="2341" spans="1:16" s="642" customFormat="1" x14ac:dyDescent="0.2">
      <c r="A2341" s="101"/>
      <c r="B2341" s="781"/>
      <c r="C2341" s="121"/>
      <c r="D2341" s="101"/>
      <c r="E2341" s="177"/>
      <c r="F2341" s="212">
        <v>409</v>
      </c>
      <c r="G2341" s="154" t="s">
        <v>100</v>
      </c>
      <c r="H2341" s="90" t="s">
        <v>9</v>
      </c>
      <c r="I2341" s="160">
        <v>2930000</v>
      </c>
      <c r="J2341" s="133"/>
      <c r="K2341" s="133">
        <f t="shared" si="110"/>
        <v>2930000</v>
      </c>
      <c r="L2341" s="27"/>
      <c r="M2341" s="1223"/>
      <c r="N2341" s="61"/>
      <c r="O2341" s="61"/>
    </row>
    <row r="2342" spans="1:16" s="642" customFormat="1" x14ac:dyDescent="0.2">
      <c r="A2342" s="99"/>
      <c r="B2342" s="111"/>
      <c r="C2342" s="119"/>
      <c r="D2342" s="99"/>
      <c r="E2342" s="176"/>
      <c r="F2342" s="212">
        <v>410</v>
      </c>
      <c r="G2342" s="154" t="s">
        <v>51</v>
      </c>
      <c r="H2342" s="90" t="s">
        <v>10</v>
      </c>
      <c r="I2342" s="160">
        <v>1200000</v>
      </c>
      <c r="J2342" s="133"/>
      <c r="K2342" s="133">
        <f t="shared" si="110"/>
        <v>1200000</v>
      </c>
      <c r="L2342" s="27"/>
      <c r="M2342" s="1223"/>
      <c r="N2342" s="61"/>
      <c r="O2342" s="61"/>
    </row>
    <row r="2343" spans="1:16" s="642" customFormat="1" x14ac:dyDescent="0.2">
      <c r="A2343" s="99"/>
      <c r="B2343" s="111"/>
      <c r="C2343" s="119"/>
      <c r="D2343" s="99"/>
      <c r="E2343" s="176"/>
      <c r="F2343" s="212">
        <v>411</v>
      </c>
      <c r="G2343" s="154" t="s">
        <v>281</v>
      </c>
      <c r="H2343" s="90" t="s">
        <v>36</v>
      </c>
      <c r="I2343" s="160">
        <v>1550000</v>
      </c>
      <c r="J2343" s="133"/>
      <c r="K2343" s="133">
        <f t="shared" si="110"/>
        <v>1550000</v>
      </c>
      <c r="L2343" s="27"/>
      <c r="M2343" s="1223"/>
      <c r="N2343" s="61"/>
      <c r="O2343" s="61"/>
    </row>
    <row r="2344" spans="1:16" s="642" customFormat="1" x14ac:dyDescent="0.2">
      <c r="A2344" s="99"/>
      <c r="B2344" s="111"/>
      <c r="C2344" s="119"/>
      <c r="D2344" s="99"/>
      <c r="E2344" s="176"/>
      <c r="F2344" s="212">
        <v>412</v>
      </c>
      <c r="G2344" s="95">
        <v>512</v>
      </c>
      <c r="H2344" s="89" t="s">
        <v>21</v>
      </c>
      <c r="I2344" s="160">
        <v>6950000</v>
      </c>
      <c r="J2344" s="133"/>
      <c r="K2344" s="133">
        <f t="shared" ref="K2344" si="111">SUM(I2344+J2344)</f>
        <v>6950000</v>
      </c>
      <c r="L2344" s="27"/>
      <c r="M2344" s="1223"/>
      <c r="N2344" s="61"/>
      <c r="O2344" s="61"/>
    </row>
    <row r="2345" spans="1:16" s="642" customFormat="1" x14ac:dyDescent="0.2">
      <c r="A2345" s="99"/>
      <c r="B2345" s="111"/>
      <c r="C2345" s="119"/>
      <c r="D2345" s="99"/>
      <c r="E2345" s="176"/>
      <c r="F2345" s="201"/>
      <c r="G2345" s="40"/>
      <c r="H2345" s="957" t="s">
        <v>787</v>
      </c>
      <c r="I2345" s="709">
        <f>SUM(I2339:I2344)</f>
        <v>14300000</v>
      </c>
      <c r="J2345" s="1188"/>
      <c r="K2345" s="1188">
        <f>SUM(K2339:K2344)</f>
        <v>14300000</v>
      </c>
      <c r="L2345" s="27"/>
      <c r="M2345" s="1223"/>
      <c r="N2345" s="61"/>
      <c r="O2345" s="61"/>
    </row>
    <row r="2346" spans="1:16" s="642" customFormat="1" x14ac:dyDescent="0.2">
      <c r="A2346" s="99"/>
      <c r="B2346" s="111"/>
      <c r="C2346" s="119"/>
      <c r="D2346" s="99"/>
      <c r="E2346" s="176"/>
      <c r="F2346" s="201"/>
      <c r="G2346" s="38" t="s">
        <v>39</v>
      </c>
      <c r="H2346" s="90" t="s">
        <v>40</v>
      </c>
      <c r="I2346" s="187">
        <f>SUM(I2348-I2347)</f>
        <v>5276248.7200000007</v>
      </c>
      <c r="J2346" s="1189"/>
      <c r="K2346" s="187">
        <f>SUM(I2346:J2346)</f>
        <v>5276248.7200000007</v>
      </c>
      <c r="L2346" s="27"/>
      <c r="M2346" s="1223"/>
      <c r="N2346" s="61"/>
      <c r="O2346" s="61"/>
    </row>
    <row r="2347" spans="1:16" s="642" customFormat="1" x14ac:dyDescent="0.2">
      <c r="A2347" s="99"/>
      <c r="B2347" s="111"/>
      <c r="C2347" s="119"/>
      <c r="D2347" s="99"/>
      <c r="E2347" s="176"/>
      <c r="F2347" s="201"/>
      <c r="G2347" s="38" t="s">
        <v>1141</v>
      </c>
      <c r="H2347" s="90" t="s">
        <v>1142</v>
      </c>
      <c r="I2347" s="187">
        <v>9023751.2799999993</v>
      </c>
      <c r="J2347" s="1189"/>
      <c r="K2347" s="187">
        <f>SUM(I2347:J2347)</f>
        <v>9023751.2799999993</v>
      </c>
      <c r="L2347" s="27"/>
      <c r="M2347" s="1223"/>
      <c r="N2347" s="61"/>
      <c r="O2347" s="61"/>
    </row>
    <row r="2348" spans="1:16" s="642" customFormat="1" x14ac:dyDescent="0.2">
      <c r="A2348" s="101"/>
      <c r="B2348" s="781"/>
      <c r="C2348" s="121"/>
      <c r="D2348" s="101"/>
      <c r="E2348" s="177"/>
      <c r="F2348" s="201"/>
      <c r="G2348" s="40"/>
      <c r="H2348" s="97" t="s">
        <v>787</v>
      </c>
      <c r="I2348" s="188">
        <f>SUM(I2345)</f>
        <v>14300000</v>
      </c>
      <c r="J2348" s="1189"/>
      <c r="K2348" s="1189">
        <f t="shared" ref="K2348" si="112">SUM(I2348:J2348)</f>
        <v>14300000</v>
      </c>
      <c r="L2348" s="27"/>
      <c r="M2348" s="1223"/>
      <c r="N2348" s="61"/>
      <c r="O2348" s="61"/>
    </row>
    <row r="2349" spans="1:16" s="642" customFormat="1" ht="15" x14ac:dyDescent="0.2">
      <c r="A2349" s="1191"/>
      <c r="B2349" s="1191"/>
      <c r="C2349" s="1192"/>
      <c r="D2349" s="1191"/>
      <c r="E2349" s="1193"/>
      <c r="F2349" s="41"/>
      <c r="G2349" s="41"/>
      <c r="H2349" s="1190" t="s">
        <v>206</v>
      </c>
      <c r="I2349" s="785"/>
      <c r="J2349" s="1019"/>
      <c r="K2349" s="1020"/>
      <c r="L2349" s="891"/>
      <c r="M2349" s="1223"/>
      <c r="N2349" s="61"/>
      <c r="O2349" s="61"/>
    </row>
    <row r="2350" spans="1:16" s="642" customFormat="1" x14ac:dyDescent="0.2">
      <c r="F2350" s="1"/>
      <c r="G2350" s="38" t="s">
        <v>39</v>
      </c>
      <c r="H2350" s="90" t="s">
        <v>40</v>
      </c>
      <c r="I2350" s="160">
        <f>SUM(I2346+I2333)</f>
        <v>10552497.430000002</v>
      </c>
      <c r="J2350" s="133"/>
      <c r="K2350" s="133">
        <f>SUM(I2350:I2350)</f>
        <v>10552497.430000002</v>
      </c>
      <c r="L2350" s="748"/>
      <c r="M2350" s="1223"/>
      <c r="N2350" s="61"/>
      <c r="O2350" s="61"/>
    </row>
    <row r="2351" spans="1:16" s="327" customFormat="1" ht="15" x14ac:dyDescent="0.25">
      <c r="A2351" s="262"/>
      <c r="B2351" s="262"/>
      <c r="C2351" s="262"/>
      <c r="D2351" s="262"/>
      <c r="E2351" s="262"/>
      <c r="F2351" s="1"/>
      <c r="G2351" s="38" t="s">
        <v>1141</v>
      </c>
      <c r="H2351" s="90" t="s">
        <v>1142</v>
      </c>
      <c r="I2351" s="160">
        <f>SUM(I2347+I2334)</f>
        <v>18047502.57</v>
      </c>
      <c r="J2351" s="133"/>
      <c r="K2351" s="133">
        <f>SUM(I2351:I2351)</f>
        <v>18047502.57</v>
      </c>
      <c r="L2351" s="442"/>
      <c r="M2351" s="1231"/>
      <c r="N2351" s="444"/>
      <c r="O2351" s="443"/>
      <c r="P2351" s="443"/>
    </row>
    <row r="2352" spans="1:16" s="896" customFormat="1" x14ac:dyDescent="0.2">
      <c r="A2352" s="1283"/>
      <c r="B2352" s="1283"/>
      <c r="C2352" s="1283"/>
      <c r="D2352" s="1283"/>
      <c r="E2352" s="1283"/>
      <c r="F2352" s="42"/>
      <c r="G2352" s="43"/>
      <c r="H2352" s="97" t="s">
        <v>270</v>
      </c>
      <c r="I2352" s="162">
        <f>SUM(I2350:I2351)</f>
        <v>28600000</v>
      </c>
      <c r="J2352" s="170"/>
      <c r="K2352" s="170">
        <f>SUM(I2352:J2352)</f>
        <v>28600000</v>
      </c>
      <c r="L2352" s="1197"/>
      <c r="M2352" s="1231"/>
      <c r="N2352" s="1198"/>
      <c r="O2352" s="747"/>
      <c r="P2352" s="747"/>
    </row>
    <row r="2353" spans="1:16" s="896" customFormat="1" ht="15" x14ac:dyDescent="0.2">
      <c r="A2353" s="1199"/>
      <c r="B2353" s="1199"/>
      <c r="C2353" s="1199"/>
      <c r="D2353" s="1199"/>
      <c r="E2353" s="1199"/>
      <c r="F2353" s="1192"/>
      <c r="G2353" s="730"/>
      <c r="H2353" s="1194"/>
      <c r="I2353" s="731"/>
      <c r="J2353" s="731"/>
      <c r="K2353" s="731"/>
      <c r="L2353" s="1267"/>
      <c r="M2353" s="1268"/>
      <c r="N2353" s="1198"/>
      <c r="O2353" s="747"/>
      <c r="P2353" s="747"/>
    </row>
    <row r="2354" spans="1:16" s="896" customFormat="1" x14ac:dyDescent="0.2">
      <c r="A2354" s="636"/>
      <c r="B2354" s="637"/>
      <c r="C2354" s="638"/>
      <c r="D2354" s="637"/>
      <c r="E2354" s="639"/>
      <c r="F2354" s="638"/>
      <c r="G2354" s="637"/>
      <c r="H2354" s="637" t="s">
        <v>166</v>
      </c>
      <c r="I2354" s="1195">
        <f>SUM(I2320+I2285+I2261+I2170+I2068+I2032+I2008+I1980+I1973+I1882+I1870+I1542+I1359+I1347+I1335+I1323+I1311+I1291+I1172+I1142+I1013+I1000+I627+I961+I927+I849+I786+I756+I737+I645+I613+I527+I545+I498+I449+I425+I405+I374+I354+I330+I303+I260)</f>
        <v>4615329200</v>
      </c>
      <c r="J2354" s="1195">
        <f>SUM(J2320+J2285+J2261+J2170+J2068+J2032+J2008+J1980+J1973+J1882+J1870+J1542+J1359+J1347+J1335+J1323+J1311+J1291+J1172+J1142+J1013+J1000+J961+J927+J849+J786+J756+J737+J645+J613+J545+J498+J449+J425+J405+J374+J354+J330+J303+J260)</f>
        <v>29232800</v>
      </c>
      <c r="K2354" s="1196">
        <f>SUM(I2354:J2354)</f>
        <v>4644562000</v>
      </c>
      <c r="L2354" s="442"/>
      <c r="M2354" s="1269"/>
      <c r="N2354" s="1198"/>
      <c r="O2354" s="747"/>
      <c r="P2354" s="747"/>
    </row>
    <row r="2355" spans="1:16" s="896" customFormat="1" x14ac:dyDescent="0.2">
      <c r="A2355" s="1284"/>
      <c r="B2355" s="1284"/>
      <c r="C2355" s="1285"/>
      <c r="D2355" s="1284"/>
      <c r="E2355" s="1286"/>
      <c r="F2355" s="1285"/>
      <c r="G2355" s="1284"/>
      <c r="H2355" s="1284"/>
      <c r="I2355" s="1287"/>
      <c r="J2355" s="1287"/>
      <c r="K2355" s="1287"/>
      <c r="L2355" s="442"/>
      <c r="M2355" s="1269"/>
      <c r="N2355" s="1198"/>
      <c r="O2355" s="747"/>
      <c r="P2355" s="747"/>
    </row>
    <row r="2356" spans="1:16" s="896" customFormat="1" x14ac:dyDescent="0.2">
      <c r="A2356" s="1284"/>
      <c r="B2356" s="1284"/>
      <c r="C2356" s="1285"/>
      <c r="D2356" s="1284"/>
      <c r="E2356" s="1286"/>
      <c r="F2356" s="1285"/>
      <c r="G2356" s="1284"/>
      <c r="H2356" s="1284"/>
      <c r="I2356" s="1287"/>
      <c r="J2356" s="1287"/>
      <c r="K2356" s="1287"/>
      <c r="L2356" s="442"/>
      <c r="M2356" s="1269"/>
      <c r="N2356" s="1198"/>
      <c r="O2356" s="747"/>
      <c r="P2356" s="747"/>
    </row>
    <row r="2357" spans="1:16" s="896" customFormat="1" x14ac:dyDescent="0.2">
      <c r="A2357" s="1284"/>
      <c r="B2357" s="1284"/>
      <c r="C2357" s="1285"/>
      <c r="D2357" s="1284"/>
      <c r="E2357" s="1286"/>
      <c r="F2357" s="1285"/>
      <c r="G2357" s="1284"/>
      <c r="H2357" s="1284"/>
      <c r="I2357" s="1287"/>
      <c r="J2357" s="1287"/>
      <c r="K2357" s="1287"/>
      <c r="L2357" s="442"/>
      <c r="M2357" s="1269"/>
      <c r="N2357" s="1198"/>
      <c r="O2357" s="747"/>
      <c r="P2357" s="747"/>
    </row>
    <row r="2358" spans="1:16" s="896" customFormat="1" x14ac:dyDescent="0.2">
      <c r="A2358" s="1284"/>
      <c r="B2358" s="1284"/>
      <c r="C2358" s="1285"/>
      <c r="D2358" s="1284"/>
      <c r="E2358" s="1286"/>
      <c r="F2358" s="1285"/>
      <c r="G2358" s="1284"/>
      <c r="H2358" s="1284"/>
      <c r="I2358" s="1287"/>
      <c r="J2358" s="1287"/>
      <c r="K2358" s="1287"/>
      <c r="L2358" s="442"/>
      <c r="M2358" s="1269"/>
      <c r="N2358" s="1198"/>
      <c r="O2358" s="747"/>
      <c r="P2358" s="747"/>
    </row>
    <row r="2359" spans="1:16" s="896" customFormat="1" x14ac:dyDescent="0.2">
      <c r="A2359" s="1284"/>
      <c r="B2359" s="1284"/>
      <c r="C2359" s="1285"/>
      <c r="D2359" s="1284"/>
      <c r="E2359" s="1286"/>
      <c r="F2359" s="1285"/>
      <c r="G2359" s="1284"/>
      <c r="H2359" s="1254" t="s">
        <v>1180</v>
      </c>
      <c r="I2359" s="1287"/>
      <c r="J2359" s="1287"/>
      <c r="K2359" s="1287"/>
      <c r="L2359" s="442"/>
      <c r="M2359" s="1269"/>
      <c r="N2359" s="1198"/>
      <c r="O2359" s="747"/>
      <c r="P2359" s="747"/>
    </row>
    <row r="2360" spans="1:16" s="896" customFormat="1" x14ac:dyDescent="0.2">
      <c r="A2360" s="1284"/>
      <c r="B2360" s="1284"/>
      <c r="C2360" s="1285"/>
      <c r="D2360" s="1284"/>
      <c r="E2360" s="1286"/>
      <c r="F2360" s="1285"/>
      <c r="G2360" s="1284"/>
      <c r="H2360" s="1284"/>
      <c r="I2360" s="1287"/>
      <c r="J2360" s="1287"/>
      <c r="K2360" s="1287"/>
      <c r="L2360" s="442"/>
      <c r="M2360" s="1269"/>
      <c r="N2360" s="1198"/>
      <c r="O2360" s="747"/>
      <c r="P2360" s="747"/>
    </row>
    <row r="2361" spans="1:16" s="896" customFormat="1" x14ac:dyDescent="0.2">
      <c r="A2361" s="1284"/>
      <c r="B2361" s="1284"/>
      <c r="C2361" s="1285"/>
      <c r="D2361" s="1327" t="s">
        <v>1181</v>
      </c>
      <c r="E2361" s="1286"/>
      <c r="F2361" s="1285"/>
      <c r="G2361" s="1284"/>
      <c r="H2361" s="1284"/>
      <c r="I2361" s="1287"/>
      <c r="J2361" s="1287"/>
      <c r="K2361" s="1287"/>
      <c r="L2361" s="442"/>
      <c r="M2361" s="1269"/>
      <c r="N2361" s="1198"/>
      <c r="O2361" s="747"/>
      <c r="P2361" s="747"/>
    </row>
    <row r="2362" spans="1:16" s="896" customFormat="1" x14ac:dyDescent="0.2">
      <c r="A2362" s="1284"/>
      <c r="B2362" s="1284"/>
      <c r="C2362" s="1285"/>
      <c r="D2362" s="1284"/>
      <c r="E2362" s="1286"/>
      <c r="F2362" s="1285"/>
      <c r="G2362" s="1284"/>
      <c r="H2362" s="1284"/>
      <c r="I2362" s="1287"/>
      <c r="J2362" s="1287"/>
      <c r="K2362" s="1287"/>
      <c r="L2362" s="442"/>
      <c r="M2362" s="1269"/>
      <c r="N2362" s="1198"/>
      <c r="O2362" s="747"/>
      <c r="P2362" s="747"/>
    </row>
    <row r="2363" spans="1:16" s="896" customFormat="1" x14ac:dyDescent="0.2">
      <c r="A2363" s="1254"/>
      <c r="B2363" s="1254"/>
      <c r="C2363" s="1254"/>
      <c r="D2363" s="1254"/>
      <c r="E2363" s="1254"/>
      <c r="F2363" s="1253"/>
      <c r="G2363" s="1253"/>
      <c r="H2363" s="1254" t="s">
        <v>447</v>
      </c>
      <c r="I2363" s="1253"/>
      <c r="J2363" s="1253"/>
      <c r="K2363" s="1253"/>
      <c r="L2363" s="1197"/>
      <c r="M2363" s="1231"/>
      <c r="N2363" s="1198"/>
      <c r="O2363" s="747"/>
      <c r="P2363" s="747"/>
    </row>
    <row r="2364" spans="1:16" s="896" customFormat="1" x14ac:dyDescent="0.2">
      <c r="A2364" s="1199"/>
      <c r="B2364" s="1199"/>
      <c r="C2364" s="1199"/>
      <c r="D2364" s="1199"/>
      <c r="E2364" s="1199"/>
      <c r="F2364" s="1199"/>
      <c r="G2364" s="1200"/>
      <c r="H2364" s="1201"/>
      <c r="I2364" s="736"/>
      <c r="J2364" s="736"/>
      <c r="K2364" s="646"/>
      <c r="L2364" s="1197"/>
      <c r="M2364" s="1231"/>
      <c r="N2364" s="1198"/>
      <c r="O2364" s="747"/>
      <c r="P2364" s="747"/>
    </row>
    <row r="2365" spans="1:16" s="896" customFormat="1" ht="15" x14ac:dyDescent="0.25">
      <c r="A2365" s="810"/>
      <c r="B2365" s="1206"/>
      <c r="C2365" s="810"/>
      <c r="D2365" s="810" t="s">
        <v>1182</v>
      </c>
      <c r="E2365" s="810"/>
      <c r="F2365" s="1202"/>
      <c r="G2365" s="1203"/>
      <c r="H2365" s="1204"/>
      <c r="I2365" s="1205"/>
      <c r="J2365" s="1205"/>
      <c r="K2365" s="646"/>
      <c r="L2365" s="1197"/>
      <c r="M2365" s="1231"/>
      <c r="N2365" s="1198"/>
      <c r="O2365" s="747"/>
      <c r="P2365" s="747"/>
    </row>
    <row r="2366" spans="1:16" s="896" customFormat="1" x14ac:dyDescent="0.2">
      <c r="A2366" s="1199"/>
      <c r="B2366" s="1199"/>
      <c r="C2366" s="1199"/>
      <c r="D2366" s="1199"/>
      <c r="E2366" s="1199"/>
      <c r="F2366" s="1202"/>
      <c r="G2366" s="1203"/>
      <c r="H2366" s="1204"/>
      <c r="I2366" s="1205"/>
      <c r="J2366" s="1205"/>
      <c r="K2366" s="646"/>
      <c r="L2366" s="1197"/>
      <c r="M2366" s="1231"/>
      <c r="N2366" s="1198"/>
      <c r="O2366" s="747"/>
      <c r="P2366" s="747"/>
    </row>
    <row r="2367" spans="1:16" s="896" customFormat="1" ht="15" x14ac:dyDescent="0.25">
      <c r="A2367" s="662"/>
      <c r="B2367" s="662"/>
      <c r="C2367" s="662"/>
      <c r="D2367" s="662"/>
      <c r="E2367" s="662"/>
      <c r="F2367" s="1254"/>
      <c r="G2367" s="1254"/>
      <c r="H2367" s="1254"/>
      <c r="I2367" s="1254"/>
      <c r="J2367" s="1254"/>
      <c r="K2367" s="1254"/>
      <c r="L2367" s="740"/>
      <c r="M2367" s="1231"/>
      <c r="N2367" s="1198"/>
      <c r="O2367" s="747"/>
      <c r="P2367" s="747"/>
    </row>
    <row r="2368" spans="1:16" s="896" customFormat="1" ht="15" x14ac:dyDescent="0.25">
      <c r="A2368" s="810"/>
      <c r="B2368" s="1206"/>
      <c r="C2368" s="810"/>
      <c r="D2368" s="810"/>
      <c r="E2368" s="810"/>
      <c r="F2368" s="1199"/>
      <c r="G2368" s="1200"/>
      <c r="H2368" s="1201"/>
      <c r="I2368" s="736"/>
      <c r="J2368" s="736"/>
      <c r="K2368" s="646"/>
      <c r="L2368" s="1209"/>
      <c r="M2368" s="1231"/>
      <c r="N2368" s="1198"/>
      <c r="O2368" s="747"/>
      <c r="P2368" s="747"/>
    </row>
    <row r="2369" spans="1:22" s="1246" customFormat="1" ht="15" x14ac:dyDescent="0.25">
      <c r="C2369" s="1252"/>
      <c r="D2369" s="1252"/>
      <c r="E2369" s="1252"/>
      <c r="F2369" s="810"/>
      <c r="G2369" s="646"/>
      <c r="H2369" s="1252" t="s">
        <v>448</v>
      </c>
      <c r="I2369" s="739"/>
      <c r="J2369" s="739"/>
      <c r="K2369" s="646"/>
      <c r="L2369" s="1243"/>
      <c r="M2369" s="1231"/>
      <c r="N2369" s="1244"/>
      <c r="O2369" s="1245"/>
      <c r="P2369" s="1245"/>
    </row>
    <row r="2370" spans="1:22" s="1246" customFormat="1" ht="15" x14ac:dyDescent="0.25">
      <c r="A2370" s="1206"/>
      <c r="B2370" s="1206"/>
      <c r="C2370" s="1206" t="s">
        <v>449</v>
      </c>
      <c r="D2370" s="1206"/>
      <c r="E2370" s="1206"/>
      <c r="F2370" s="1199"/>
      <c r="G2370" s="1200"/>
      <c r="H2370" s="1201"/>
      <c r="I2370" s="736"/>
      <c r="J2370" s="736"/>
      <c r="K2370" s="646"/>
      <c r="L2370" s="1243"/>
      <c r="M2370" s="1231"/>
      <c r="N2370" s="1244"/>
      <c r="O2370" s="1245"/>
      <c r="P2370" s="1245"/>
    </row>
    <row r="2371" spans="1:22" s="953" customFormat="1" ht="15" x14ac:dyDescent="0.25">
      <c r="A2371" s="1206"/>
      <c r="B2371" s="1206"/>
      <c r="C2371" s="1206" t="s">
        <v>1189</v>
      </c>
      <c r="D2371" s="1206"/>
      <c r="E2371" s="1206"/>
      <c r="F2371" s="662"/>
      <c r="G2371" s="641"/>
      <c r="H2371" s="1208"/>
      <c r="I2371" s="646"/>
      <c r="J2371" s="646"/>
      <c r="K2371" s="646"/>
      <c r="L2371" s="1243"/>
      <c r="M2371" s="1220"/>
      <c r="N2371" s="1248"/>
    </row>
    <row r="2372" spans="1:22" s="953" customFormat="1" ht="15" x14ac:dyDescent="0.25">
      <c r="A2372" s="1206"/>
      <c r="B2372" s="1206"/>
      <c r="C2372" s="1206" t="s">
        <v>1190</v>
      </c>
      <c r="D2372" s="1206"/>
      <c r="E2372" s="1206"/>
      <c r="F2372" s="810"/>
      <c r="G2372" s="646"/>
      <c r="H2372" s="1207"/>
      <c r="I2372" s="739"/>
      <c r="J2372" s="739"/>
      <c r="K2372" s="646"/>
      <c r="L2372" s="1243"/>
      <c r="M2372" s="1220"/>
      <c r="N2372" s="1248"/>
    </row>
    <row r="2373" spans="1:22" s="1249" customFormat="1" ht="15" x14ac:dyDescent="0.25">
      <c r="A2373" s="1206"/>
      <c r="B2373" s="1206"/>
      <c r="C2373" s="1206" t="s">
        <v>451</v>
      </c>
      <c r="D2373" s="1206"/>
      <c r="E2373" s="1206"/>
      <c r="F2373" s="1252"/>
      <c r="G2373" s="1252"/>
      <c r="H2373" s="1252"/>
      <c r="I2373" s="1252"/>
      <c r="J2373" s="1252"/>
      <c r="K2373" s="1220"/>
      <c r="L2373" s="1243"/>
      <c r="M2373" s="1440"/>
      <c r="N2373" s="1440"/>
      <c r="O2373" s="1440"/>
      <c r="P2373" s="1440"/>
      <c r="Q2373" s="1440"/>
      <c r="R2373" s="1440"/>
      <c r="S2373" s="1440"/>
      <c r="T2373" s="1440"/>
      <c r="U2373" s="1440"/>
      <c r="V2373" s="1440"/>
    </row>
    <row r="2374" spans="1:22" s="262" customFormat="1" ht="15" x14ac:dyDescent="0.25">
      <c r="B2374" s="299"/>
      <c r="C2374" s="299"/>
      <c r="D2374" s="299"/>
      <c r="E2374" s="299"/>
      <c r="F2374" s="1206"/>
      <c r="G2374" s="1206"/>
      <c r="H2374" s="1247"/>
      <c r="I2374" s="1206" t="s">
        <v>450</v>
      </c>
      <c r="J2374" s="1247"/>
      <c r="K2374" s="1206"/>
      <c r="L2374" s="302"/>
      <c r="M2374" s="1220"/>
      <c r="N2374" s="446"/>
      <c r="O2374" s="340"/>
      <c r="P2374" s="340"/>
      <c r="Q2374" s="340"/>
      <c r="R2374" s="340"/>
      <c r="S2374" s="340"/>
      <c r="T2374" s="445"/>
      <c r="U2374" s="445"/>
      <c r="V2374" s="340"/>
    </row>
    <row r="2375" spans="1:22" s="262" customFormat="1" ht="15" x14ac:dyDescent="0.25">
      <c r="A2375" s="299"/>
      <c r="B2375" s="299"/>
      <c r="C2375" s="299"/>
      <c r="D2375" s="299"/>
      <c r="E2375" s="299"/>
      <c r="F2375" s="1206"/>
      <c r="G2375" s="1206"/>
      <c r="H2375" s="1206"/>
      <c r="I2375" s="1247"/>
      <c r="J2375" s="1247"/>
      <c r="K2375" s="1206"/>
      <c r="L2375" s="299"/>
      <c r="M2375" s="1220"/>
      <c r="N2375" s="446"/>
      <c r="O2375" s="340"/>
      <c r="P2375" s="340"/>
      <c r="Q2375" s="340"/>
      <c r="R2375" s="340"/>
      <c r="S2375" s="340"/>
      <c r="T2375" s="340"/>
      <c r="U2375" s="445"/>
      <c r="V2375" s="340"/>
    </row>
    <row r="2376" spans="1:22" s="262" customFormat="1" ht="15" x14ac:dyDescent="0.25">
      <c r="A2376" s="303"/>
      <c r="B2376" s="303"/>
      <c r="C2376" s="304"/>
      <c r="D2376" s="303"/>
      <c r="E2376" s="305"/>
      <c r="F2376" s="1206"/>
      <c r="G2376" s="1206"/>
      <c r="H2376" s="1247"/>
      <c r="I2376" s="1206" t="s">
        <v>1192</v>
      </c>
      <c r="J2376" s="1247"/>
      <c r="K2376" s="1206"/>
      <c r="L2376" s="26"/>
      <c r="M2376" s="1220"/>
      <c r="N2376" s="446"/>
      <c r="O2376" s="340"/>
      <c r="P2376" s="340"/>
      <c r="Q2376" s="340"/>
      <c r="R2376" s="340"/>
      <c r="S2376" s="340"/>
      <c r="T2376" s="445"/>
      <c r="U2376" s="445"/>
      <c r="V2376" s="340"/>
    </row>
    <row r="2377" spans="1:22" s="262" customFormat="1" ht="15" x14ac:dyDescent="0.25">
      <c r="A2377" s="303"/>
      <c r="B2377" s="303"/>
      <c r="C2377" s="304"/>
      <c r="D2377" s="303"/>
      <c r="E2377" s="305"/>
      <c r="F2377" s="1206"/>
      <c r="G2377" s="1206"/>
      <c r="H2377" s="1206"/>
      <c r="I2377" s="1247"/>
      <c r="J2377" s="1247"/>
      <c r="K2377" s="1206"/>
      <c r="L2377" s="26"/>
      <c r="M2377" s="1220"/>
      <c r="N2377" s="446"/>
      <c r="O2377" s="340"/>
      <c r="P2377" s="340"/>
      <c r="Q2377" s="340"/>
      <c r="R2377" s="340"/>
      <c r="S2377" s="340"/>
      <c r="T2377" s="340"/>
      <c r="U2377" s="445"/>
      <c r="V2377" s="340"/>
    </row>
    <row r="2378" spans="1:22" s="262" customFormat="1" ht="15" x14ac:dyDescent="0.25">
      <c r="A2378" s="303"/>
      <c r="B2378" s="303"/>
      <c r="C2378" s="304"/>
      <c r="D2378" s="303"/>
      <c r="E2378" s="305"/>
      <c r="F2378" s="299"/>
      <c r="G2378" s="299"/>
      <c r="H2378" s="308"/>
      <c r="I2378" s="300"/>
      <c r="J2378" s="300"/>
      <c r="K2378" s="264"/>
      <c r="L2378" s="26"/>
      <c r="M2378" s="1220"/>
      <c r="N2378" s="321"/>
      <c r="O2378" s="14"/>
      <c r="P2378" s="14"/>
      <c r="Q2378" s="14"/>
      <c r="R2378" s="14"/>
      <c r="S2378" s="14"/>
      <c r="T2378" s="14"/>
      <c r="U2378" s="14"/>
      <c r="V2378" s="14"/>
    </row>
    <row r="2379" spans="1:22" x14ac:dyDescent="0.2">
      <c r="F2379" s="299"/>
      <c r="G2379" s="299"/>
      <c r="H2379" s="308"/>
      <c r="I2379" s="264"/>
      <c r="J2379" s="264"/>
      <c r="K2379" s="264"/>
      <c r="M2379" s="1220"/>
      <c r="N2379" s="447"/>
      <c r="O2379" s="299"/>
      <c r="P2379" s="299"/>
    </row>
  </sheetData>
  <mergeCells count="123">
    <mergeCell ref="A185:H185"/>
    <mergeCell ref="A181:H181"/>
    <mergeCell ref="A180:H180"/>
    <mergeCell ref="A214:B214"/>
    <mergeCell ref="M2373:V2373"/>
    <mergeCell ref="A250:K250"/>
    <mergeCell ref="A252:K252"/>
    <mergeCell ref="E248:H248"/>
    <mergeCell ref="E242:H242"/>
    <mergeCell ref="E246:H246"/>
    <mergeCell ref="E247:H247"/>
    <mergeCell ref="E241:H241"/>
    <mergeCell ref="E243:H243"/>
    <mergeCell ref="E244:H244"/>
    <mergeCell ref="E245:H245"/>
    <mergeCell ref="E238:H238"/>
    <mergeCell ref="E239:H239"/>
    <mergeCell ref="E240:H240"/>
    <mergeCell ref="C220:E220"/>
    <mergeCell ref="F220:H220"/>
    <mergeCell ref="A222:K222"/>
    <mergeCell ref="I226:K226"/>
    <mergeCell ref="E226:H228"/>
    <mergeCell ref="C226:D228"/>
    <mergeCell ref="A9:L9"/>
    <mergeCell ref="A10:L10"/>
    <mergeCell ref="A12:L12"/>
    <mergeCell ref="A14:L14"/>
    <mergeCell ref="A19:L19"/>
    <mergeCell ref="A23:L23"/>
    <mergeCell ref="E236:H236"/>
    <mergeCell ref="E237:H237"/>
    <mergeCell ref="E234:H234"/>
    <mergeCell ref="E235:H235"/>
    <mergeCell ref="A153:H153"/>
    <mergeCell ref="A176:H176"/>
    <mergeCell ref="A177:H177"/>
    <mergeCell ref="A175:H175"/>
    <mergeCell ref="A179:H179"/>
    <mergeCell ref="A183:H183"/>
    <mergeCell ref="A184:H184"/>
    <mergeCell ref="C216:E216"/>
    <mergeCell ref="C217:E217"/>
    <mergeCell ref="A215:B215"/>
    <mergeCell ref="A216:B216"/>
    <mergeCell ref="A217:B217"/>
    <mergeCell ref="C214:E214"/>
    <mergeCell ref="E232:H232"/>
    <mergeCell ref="A226:B228"/>
    <mergeCell ref="E230:H230"/>
    <mergeCell ref="A232:B232"/>
    <mergeCell ref="A230:B230"/>
    <mergeCell ref="A220:B220"/>
    <mergeCell ref="E233:H233"/>
    <mergeCell ref="E231:H231"/>
    <mergeCell ref="F218:H218"/>
    <mergeCell ref="A219:B219"/>
    <mergeCell ref="C219:E219"/>
    <mergeCell ref="A218:B218"/>
    <mergeCell ref="C218:E218"/>
    <mergeCell ref="C215:E215"/>
    <mergeCell ref="C213:E213"/>
    <mergeCell ref="C208:E208"/>
    <mergeCell ref="C209:E209"/>
    <mergeCell ref="C210:E210"/>
    <mergeCell ref="F202:H202"/>
    <mergeCell ref="C212:E212"/>
    <mergeCell ref="A209:B209"/>
    <mergeCell ref="A210:B210"/>
    <mergeCell ref="C206:E206"/>
    <mergeCell ref="A213:B213"/>
    <mergeCell ref="C207:E207"/>
    <mergeCell ref="C211:E211"/>
    <mergeCell ref="A212:B212"/>
    <mergeCell ref="A211:B211"/>
    <mergeCell ref="C204:E204"/>
    <mergeCell ref="C205:E205"/>
    <mergeCell ref="A204:B204"/>
    <mergeCell ref="A202:B202"/>
    <mergeCell ref="A206:B206"/>
    <mergeCell ref="A207:B207"/>
    <mergeCell ref="A208:B208"/>
    <mergeCell ref="A203:B203"/>
    <mergeCell ref="A29:F29"/>
    <mergeCell ref="A178:H178"/>
    <mergeCell ref="A173:H173"/>
    <mergeCell ref="A165:H165"/>
    <mergeCell ref="A171:H171"/>
    <mergeCell ref="A169:H169"/>
    <mergeCell ref="A158:H158"/>
    <mergeCell ref="A155:H155"/>
    <mergeCell ref="A156:H156"/>
    <mergeCell ref="A157:H157"/>
    <mergeCell ref="A160:H160"/>
    <mergeCell ref="A170:H170"/>
    <mergeCell ref="A172:H172"/>
    <mergeCell ref="A145:K145"/>
    <mergeCell ref="A151:H151"/>
    <mergeCell ref="A154:H154"/>
    <mergeCell ref="A150:H150"/>
    <mergeCell ref="A174:H174"/>
    <mergeCell ref="A159:H159"/>
    <mergeCell ref="A161:H161"/>
    <mergeCell ref="A163:H163"/>
    <mergeCell ref="A164:H164"/>
    <mergeCell ref="A166:H166"/>
    <mergeCell ref="A168:H168"/>
    <mergeCell ref="A194:H194"/>
    <mergeCell ref="A205:B205"/>
    <mergeCell ref="A198:K198"/>
    <mergeCell ref="A201:H201"/>
    <mergeCell ref="C202:E202"/>
    <mergeCell ref="C203:E203"/>
    <mergeCell ref="A191:H191"/>
    <mergeCell ref="A186:H186"/>
    <mergeCell ref="A190:H190"/>
    <mergeCell ref="A192:H192"/>
    <mergeCell ref="A193:H193"/>
    <mergeCell ref="A187:H187"/>
    <mergeCell ref="A188:H188"/>
    <mergeCell ref="A189:H189"/>
    <mergeCell ref="A195:H195"/>
    <mergeCell ref="A196:H196"/>
  </mergeCells>
  <printOptions horizontalCentered="1"/>
  <pageMargins left="0.39370078740157483" right="0" top="0.55118110236220474" bottom="0.35433070866141736" header="0" footer="0"/>
  <pageSetup paperSize="9" scale="85" fitToWidth="0" fitToHeight="0" orientation="landscape" useFirstPageNumber="1" r:id="rId1"/>
  <headerFooter>
    <oddFooter>&amp;C &amp;P</oddFooter>
  </headerFooter>
  <rowBreaks count="1" manualBreakCount="1">
    <brk id="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4"/>
  <sheetViews>
    <sheetView showGridLines="0" topLeftCell="A229" workbookViewId="0">
      <selection activeCell="H227" sqref="H227"/>
    </sheetView>
  </sheetViews>
  <sheetFormatPr defaultRowHeight="11.25" x14ac:dyDescent="0.2"/>
  <cols>
    <col min="1" max="1" width="11.7109375" style="533" customWidth="1"/>
    <col min="2" max="2" width="10.85546875" style="533" customWidth="1"/>
    <col min="3" max="3" width="21.7109375" style="11" customWidth="1"/>
    <col min="4" max="4" width="27.7109375" style="11" customWidth="1"/>
    <col min="5" max="5" width="27.5703125" style="11" customWidth="1"/>
    <col min="6" max="6" width="15.140625" style="534" customWidth="1"/>
    <col min="7" max="7" width="10" style="535" customWidth="1"/>
    <col min="8" max="8" width="13.140625" style="534" customWidth="1"/>
    <col min="9" max="9" width="8.140625" style="536" customWidth="1"/>
    <col min="10" max="10" width="8" style="536" customWidth="1"/>
    <col min="11" max="11" width="8.5703125" style="536" customWidth="1"/>
    <col min="12" max="12" width="13.5703125" style="536" customWidth="1"/>
    <col min="13" max="13" width="9.5703125" style="536" bestFit="1" customWidth="1"/>
    <col min="14" max="16384" width="9.140625" style="536"/>
  </cols>
  <sheetData>
    <row r="1" spans="1:12" ht="15" customHeight="1" x14ac:dyDescent="0.2">
      <c r="A1" s="1272"/>
    </row>
    <row r="2" spans="1:12" s="537" customFormat="1" ht="17.25" customHeight="1" x14ac:dyDescent="0.2">
      <c r="A2" s="1458" t="s">
        <v>510</v>
      </c>
      <c r="B2" s="1459"/>
      <c r="C2" s="1459"/>
      <c r="D2" s="1459"/>
      <c r="E2" s="1459"/>
      <c r="F2" s="1459"/>
      <c r="G2" s="1459"/>
      <c r="H2" s="1460"/>
    </row>
    <row r="3" spans="1:12" s="537" customFormat="1" ht="15" customHeight="1" x14ac:dyDescent="0.2">
      <c r="A3" s="73"/>
      <c r="B3" s="73"/>
      <c r="C3" s="206"/>
      <c r="D3" s="206"/>
      <c r="E3" s="206"/>
      <c r="F3" s="206"/>
      <c r="G3" s="206"/>
      <c r="H3" s="206"/>
    </row>
    <row r="4" spans="1:12" ht="11.25" customHeight="1" x14ac:dyDescent="0.2">
      <c r="A4" s="1465" t="s">
        <v>492</v>
      </c>
      <c r="B4" s="1466"/>
      <c r="C4" s="1467" t="s">
        <v>493</v>
      </c>
      <c r="D4" s="1467" t="s">
        <v>494</v>
      </c>
      <c r="E4" s="1467" t="s">
        <v>495</v>
      </c>
      <c r="F4" s="1463" t="s">
        <v>207</v>
      </c>
      <c r="G4" s="1461" t="s">
        <v>356</v>
      </c>
      <c r="H4" s="1463" t="s">
        <v>208</v>
      </c>
    </row>
    <row r="5" spans="1:12" ht="33.75" x14ac:dyDescent="0.2">
      <c r="A5" s="74" t="s">
        <v>367</v>
      </c>
      <c r="B5" s="74" t="s">
        <v>496</v>
      </c>
      <c r="C5" s="1468"/>
      <c r="D5" s="1468"/>
      <c r="E5" s="1468"/>
      <c r="F5" s="1464"/>
      <c r="G5" s="1462"/>
      <c r="H5" s="1464"/>
      <c r="I5" s="538"/>
      <c r="J5" s="538"/>
      <c r="K5" s="538"/>
    </row>
    <row r="6" spans="1:12" s="543" customFormat="1" x14ac:dyDescent="0.2">
      <c r="A6" s="539" t="s">
        <v>63</v>
      </c>
      <c r="B6" s="539" t="s">
        <v>497</v>
      </c>
      <c r="C6" s="539" t="s">
        <v>72</v>
      </c>
      <c r="D6" s="539" t="s">
        <v>363</v>
      </c>
      <c r="E6" s="539" t="s">
        <v>364</v>
      </c>
      <c r="F6" s="540">
        <v>6</v>
      </c>
      <c r="G6" s="541">
        <v>7</v>
      </c>
      <c r="H6" s="540">
        <v>8</v>
      </c>
      <c r="I6" s="542"/>
    </row>
    <row r="7" spans="1:12" ht="33.75" x14ac:dyDescent="0.2">
      <c r="A7" s="75" t="s">
        <v>308</v>
      </c>
      <c r="B7" s="75"/>
      <c r="C7" s="76" t="str">
        <f>'Budzet 2018'!H1980</f>
        <v>ПРОГРАМ 1 - УРБАНИЗАМ И ПРОСТОРНО ПЛАНИРАЊЕ</v>
      </c>
      <c r="D7" s="76" t="s">
        <v>581</v>
      </c>
      <c r="E7" s="76" t="s">
        <v>582</v>
      </c>
      <c r="F7" s="77">
        <f>SUM(F8:F9)</f>
        <v>27000000</v>
      </c>
      <c r="G7" s="77">
        <f t="shared" ref="G7" si="0">SUM(G8)</f>
        <v>0</v>
      </c>
      <c r="H7" s="77">
        <f>SUM(F7:G7)</f>
        <v>27000000</v>
      </c>
      <c r="I7" s="542"/>
      <c r="L7" s="538"/>
    </row>
    <row r="8" spans="1:12" ht="33.75" x14ac:dyDescent="0.2">
      <c r="A8" s="12"/>
      <c r="B8" s="265" t="str">
        <f>'Budzet 2018'!E1983</f>
        <v>1101-0001</v>
      </c>
      <c r="C8" s="2" t="str">
        <f>'Budzet 2018'!H1983</f>
        <v>Просторно и урбанистичко планирање</v>
      </c>
      <c r="D8" s="2" t="s">
        <v>583</v>
      </c>
      <c r="E8" s="2" t="s">
        <v>498</v>
      </c>
      <c r="F8" s="4">
        <f>'Budzet 2018'!I1994</f>
        <v>22500000</v>
      </c>
      <c r="G8" s="4">
        <f>'Budzet 2018'!J1994</f>
        <v>0</v>
      </c>
      <c r="H8" s="4">
        <f>'Budzet 2018'!K1994</f>
        <v>22500000</v>
      </c>
      <c r="I8" s="542"/>
    </row>
    <row r="9" spans="1:12" ht="60" customHeight="1" x14ac:dyDescent="0.2">
      <c r="A9" s="12"/>
      <c r="B9" s="12"/>
      <c r="C9" s="1218" t="s">
        <v>1111</v>
      </c>
      <c r="D9" s="2"/>
      <c r="E9" s="2"/>
      <c r="F9" s="4">
        <v>4500000</v>
      </c>
      <c r="G9" s="4">
        <v>0</v>
      </c>
      <c r="H9" s="4">
        <f>SUM(F9:G9)</f>
        <v>4500000</v>
      </c>
      <c r="I9" s="542"/>
    </row>
    <row r="10" spans="1:12" ht="52.5" customHeight="1" x14ac:dyDescent="0.2">
      <c r="A10" s="75" t="s">
        <v>559</v>
      </c>
      <c r="B10" s="75"/>
      <c r="C10" s="76" t="str">
        <f>'Budzet 2018'!H1311</f>
        <v>ПРОГРАМ 2 - КОМУНАЛНЕ ДЕЛАТНОСТИ</v>
      </c>
      <c r="D10" s="78" t="s">
        <v>584</v>
      </c>
      <c r="E10" s="78" t="s">
        <v>585</v>
      </c>
      <c r="F10" s="77">
        <f>SUM(F11:F54)</f>
        <v>420966146.47000003</v>
      </c>
      <c r="G10" s="77">
        <f>SUM(G12:G53)</f>
        <v>0</v>
      </c>
      <c r="H10" s="77">
        <f>SUM(F10:G10)</f>
        <v>420966146.47000003</v>
      </c>
      <c r="I10" s="542"/>
      <c r="L10" s="538"/>
    </row>
    <row r="11" spans="1:12" ht="52.5" customHeight="1" x14ac:dyDescent="0.2">
      <c r="A11" s="1318"/>
      <c r="B11" s="1319" t="s">
        <v>563</v>
      </c>
      <c r="C11" s="1321" t="str">
        <f>'Budzet 2018'!H1316</f>
        <v>Управљање/одржавање јавним осветљењем</v>
      </c>
      <c r="D11" s="285" t="s">
        <v>586</v>
      </c>
      <c r="E11" s="285" t="s">
        <v>587</v>
      </c>
      <c r="F11" s="1320">
        <f>'Budzet 2018'!I1321</f>
        <v>31741307</v>
      </c>
      <c r="G11" s="1320"/>
      <c r="H11" s="1320">
        <f>SUM(F11:G11)</f>
        <v>31741307</v>
      </c>
      <c r="I11" s="542"/>
      <c r="L11" s="538"/>
    </row>
    <row r="12" spans="1:12" ht="33.75" x14ac:dyDescent="0.2">
      <c r="A12" s="12"/>
      <c r="B12" s="12" t="str">
        <f>'Budzet 2018'!E2288</f>
        <v>1102-0002</v>
      </c>
      <c r="C12" s="7" t="str">
        <f>'Budzet 2018'!H2288</f>
        <v>Одржавање јавних зелених површина</v>
      </c>
      <c r="D12" s="7" t="s">
        <v>588</v>
      </c>
      <c r="E12" s="7" t="s">
        <v>589</v>
      </c>
      <c r="F12" s="4">
        <f>SUM('Budzet 2018'!I2295)</f>
        <v>134000000</v>
      </c>
      <c r="G12" s="4">
        <f>'Budzet 2018'!J2295</f>
        <v>0</v>
      </c>
      <c r="H12" s="4">
        <f t="shared" ref="H12:H48" si="1">SUM(F12:G12)</f>
        <v>134000000</v>
      </c>
      <c r="I12" s="544"/>
    </row>
    <row r="13" spans="1:12" ht="70.5" customHeight="1" x14ac:dyDescent="0.2">
      <c r="A13" s="12"/>
      <c r="B13" s="265" t="str">
        <f>'Budzet 2018'!E2298</f>
        <v>1102-0004</v>
      </c>
      <c r="C13" s="7" t="str">
        <f>'Budzet 2018'!H2298</f>
        <v>Зоохигијена</v>
      </c>
      <c r="D13" s="7" t="s">
        <v>1066</v>
      </c>
      <c r="E13" s="7" t="s">
        <v>1067</v>
      </c>
      <c r="F13" s="4">
        <f>'Budzet 2018'!I2302</f>
        <v>10000000</v>
      </c>
      <c r="G13" s="4">
        <f>'Budzet 2018'!J2302</f>
        <v>0</v>
      </c>
      <c r="H13" s="4">
        <f>'Budzet 2018'!K2302</f>
        <v>10000000</v>
      </c>
      <c r="I13" s="544"/>
    </row>
    <row r="14" spans="1:12" ht="37.5" customHeight="1" x14ac:dyDescent="0.2">
      <c r="A14" s="12"/>
      <c r="B14" s="12"/>
      <c r="C14" s="7" t="str">
        <f>'Budzet 2018'!H2306</f>
        <v>ПРОЈЕКАТ 1 -"ЧИПОВАЊЕ И СТЕРИЛИЗАЦИЈА ПАСА И МАЧАКА"</v>
      </c>
      <c r="D14" s="7"/>
      <c r="E14" s="2"/>
      <c r="F14" s="5">
        <f>'Budzet 2018'!I2310</f>
        <v>1000</v>
      </c>
      <c r="G14" s="5">
        <f>'Budzet 2018'!J2310</f>
        <v>0</v>
      </c>
      <c r="H14" s="5">
        <f>'Budzet 2018'!K2310</f>
        <v>1000</v>
      </c>
      <c r="I14" s="544"/>
    </row>
    <row r="15" spans="1:12" ht="34.5" customHeight="1" x14ac:dyDescent="0.2">
      <c r="A15" s="12"/>
      <c r="B15" s="12"/>
      <c r="C15" s="7" t="str">
        <f>'Budzet 2018'!H2314</f>
        <v>ПРОЈЕКАТ 2 -"НАБАВКА ПОСУДА ЗА САКУПЉАЊЕ КОМУНАЛНОГ ОТПАДА"</v>
      </c>
      <c r="D15" s="7"/>
      <c r="E15" s="2"/>
      <c r="F15" s="5">
        <f>'Budzet 2018'!I2317</f>
        <v>1000</v>
      </c>
      <c r="G15" s="5">
        <f>'Budzet 2018'!J2317</f>
        <v>0</v>
      </c>
      <c r="H15" s="5">
        <f>'Budzet 2018'!K2317</f>
        <v>1000</v>
      </c>
      <c r="L15" s="538"/>
    </row>
    <row r="16" spans="1:12" ht="35.25" customHeight="1" x14ac:dyDescent="0.2">
      <c r="A16" s="12"/>
      <c r="B16" s="12"/>
      <c r="C16" s="7" t="str">
        <f>'Budzet 2018'!H629</f>
        <v>ПРОЈЕКАТ "Набавка камиона кипера и камиона смећара"</v>
      </c>
      <c r="D16" s="7"/>
      <c r="E16" s="2"/>
      <c r="F16" s="5">
        <f>'Budzet 2018'!I635</f>
        <v>24810000</v>
      </c>
      <c r="G16" s="5">
        <f>'Budzet 2018'!J635</f>
        <v>0</v>
      </c>
      <c r="H16" s="5">
        <f>'Budzet 2018'!K635</f>
        <v>24810000</v>
      </c>
    </row>
    <row r="17" spans="1:8" ht="29.25" customHeight="1" x14ac:dyDescent="0.2">
      <c r="A17" s="12"/>
      <c r="B17" s="12"/>
      <c r="C17" s="1219" t="s">
        <v>1029</v>
      </c>
      <c r="D17" s="7"/>
      <c r="E17" s="2"/>
      <c r="F17" s="1326">
        <f>SUM('Budzet 2018'!I643)</f>
        <v>17200000</v>
      </c>
      <c r="G17" s="5"/>
      <c r="H17" s="5">
        <f>SUM(F17:G17)</f>
        <v>17200000</v>
      </c>
    </row>
    <row r="18" spans="1:8" ht="45" customHeight="1" x14ac:dyDescent="0.2">
      <c r="A18" s="12"/>
      <c r="B18" s="12"/>
      <c r="C18" s="7" t="str">
        <f>'Budzet 2018'!H1364</f>
        <v>ПРОЈЕКАТ 1.1 Израда пројектне документације и извођење радова на уређењу објекта месне заједнице и полиције у Бешки</v>
      </c>
      <c r="D18" s="7"/>
      <c r="E18" s="2"/>
      <c r="F18" s="5">
        <f>'Budzet 2018'!I1368</f>
        <v>1854001</v>
      </c>
      <c r="G18" s="5">
        <f>'Budzet 2018'!J1368</f>
        <v>0</v>
      </c>
      <c r="H18" s="5">
        <f>'Budzet 2018'!K1368</f>
        <v>1854001</v>
      </c>
    </row>
    <row r="19" spans="1:8" ht="54" customHeight="1" x14ac:dyDescent="0.2">
      <c r="A19" s="12"/>
      <c r="B19" s="12"/>
      <c r="C19" s="7" t="str">
        <f>'Budzet 2018'!H1370</f>
        <v>ПРОЈЕКАТ 1.2 Израда техничке документације на  уређењу просторија месне заједнице Стари Сланкамен</v>
      </c>
      <c r="D19" s="7"/>
      <c r="E19" s="2"/>
      <c r="F19" s="5">
        <f>'Budzet 2018'!I1373</f>
        <v>500000</v>
      </c>
      <c r="G19" s="5">
        <f>'Budzet 2018'!J1373</f>
        <v>0</v>
      </c>
      <c r="H19" s="5">
        <f>'Budzet 2018'!K1373</f>
        <v>500000</v>
      </c>
    </row>
    <row r="20" spans="1:8" ht="47.25" customHeight="1" x14ac:dyDescent="0.2">
      <c r="A20" s="12"/>
      <c r="B20" s="12"/>
      <c r="C20" s="7" t="str">
        <f>'Budzet 2018'!H1375</f>
        <v>ПРОЈЕКАТ 1.3 Санација  крова на објекту Дома културе у Новим Карловцима</v>
      </c>
      <c r="D20" s="7"/>
      <c r="E20" s="2"/>
      <c r="F20" s="5">
        <f>'Budzet 2018'!I1379</f>
        <v>2000</v>
      </c>
      <c r="G20" s="5">
        <f>'Budzet 2018'!J1379</f>
        <v>0</v>
      </c>
      <c r="H20" s="5">
        <f>'Budzet 2018'!K1379</f>
        <v>2000</v>
      </c>
    </row>
    <row r="21" spans="1:8" ht="47.25" customHeight="1" x14ac:dyDescent="0.2">
      <c r="A21" s="12"/>
      <c r="B21" s="12"/>
      <c r="C21" s="545" t="str">
        <f>'Budzet 2018'!H1382</f>
        <v>ПРОЈЕКАТ 1.3А Текуће одржавњеа фасаде и просторија амбуланте у Новим Карловцима</v>
      </c>
      <c r="D21" s="7"/>
      <c r="E21" s="2"/>
      <c r="F21" s="5">
        <f>'Budzet 2018'!I1386</f>
        <v>4620001</v>
      </c>
      <c r="G21" s="5">
        <f>'Budzet 2018'!J1386</f>
        <v>0</v>
      </c>
      <c r="H21" s="5">
        <f>'Budzet 2018'!K1386</f>
        <v>4620001</v>
      </c>
    </row>
    <row r="22" spans="1:8" ht="40.5" customHeight="1" x14ac:dyDescent="0.2">
      <c r="A22" s="12"/>
      <c r="B22" s="12"/>
      <c r="C22" s="7" t="str">
        <f>'Budzet 2018'!H1388</f>
        <v>ПРОЈЕКАТ 1.4 -  Изградња кућних прикључака  фекалне канализације Бешка</v>
      </c>
      <c r="D22" s="7"/>
      <c r="E22" s="2"/>
      <c r="F22" s="5">
        <f>'Budzet 2018'!I1392</f>
        <v>65030735.219999999</v>
      </c>
      <c r="G22" s="5">
        <f>'Budzet 2018'!J1392</f>
        <v>0</v>
      </c>
      <c r="H22" s="5">
        <f>'Budzet 2018'!K1392</f>
        <v>65030735.219999999</v>
      </c>
    </row>
    <row r="23" spans="1:8" ht="82.5" customHeight="1" x14ac:dyDescent="0.2">
      <c r="A23" s="12"/>
      <c r="B23" s="12"/>
      <c r="C23" s="7" t="str">
        <f>'Budzet 2018'!H1394</f>
        <v>ПРОЈЕКАТ 1.5 -  Израда техничке документације  изградње фекалне канализације (Крчедин, Марадик, Нови Карловци, Нови Сланкамен и Стари Сланкамен)</v>
      </c>
      <c r="D23" s="7"/>
      <c r="E23" s="2"/>
      <c r="F23" s="5">
        <f>'Budzet 2018'!I1397</f>
        <v>7800000</v>
      </c>
      <c r="G23" s="5">
        <f>'Budzet 2018'!J1397</f>
        <v>0</v>
      </c>
      <c r="H23" s="5">
        <f>'Budzet 2018'!K1397</f>
        <v>7800000</v>
      </c>
    </row>
    <row r="24" spans="1:8" ht="52.5" customHeight="1" x14ac:dyDescent="0.2">
      <c r="A24" s="12"/>
      <c r="B24" s="12"/>
      <c r="C24" s="7" t="str">
        <f>'Budzet 2018'!H1399</f>
        <v>ПРОЈЕКАТ 1.6 -  Изградња колектора фекалне канализације за потребе индустријске зоне Бешка</v>
      </c>
      <c r="D24" s="7"/>
      <c r="E24" s="2"/>
      <c r="F24" s="5">
        <f>'Budzet 2018'!I1402</f>
        <v>1000</v>
      </c>
      <c r="G24" s="5">
        <f>'Budzet 2018'!J1402</f>
        <v>0</v>
      </c>
      <c r="H24" s="5">
        <f>'Budzet 2018'!K1402</f>
        <v>1000</v>
      </c>
    </row>
    <row r="25" spans="1:8" ht="51" customHeight="1" x14ac:dyDescent="0.2">
      <c r="A25" s="12"/>
      <c r="B25" s="12"/>
      <c r="C25" s="7" t="str">
        <f>'Budzet 2018'!H1404</f>
        <v>ПРОЈЕКАТ 1.7 - Извођење радова на опремању индустријске зоне Бешка (пут, вода и ФК)</v>
      </c>
      <c r="D25" s="7"/>
      <c r="E25" s="2"/>
      <c r="F25" s="5">
        <f>'Budzet 2018'!I1407</f>
        <v>1000</v>
      </c>
      <c r="G25" s="5">
        <f>'Budzet 2018'!J1407</f>
        <v>0</v>
      </c>
      <c r="H25" s="5">
        <f>'Budzet 2018'!K1407</f>
        <v>1000</v>
      </c>
    </row>
    <row r="26" spans="1:8" ht="51" customHeight="1" x14ac:dyDescent="0.2">
      <c r="A26" s="12"/>
      <c r="B26" s="12"/>
      <c r="C26" s="7" t="str">
        <f>'Budzet 2018'!H1409</f>
        <v xml:space="preserve">ПРОЈЕКАТ 1.8 - Израда Идејног решења одвођења атмосферских вода насељених места Инђија </v>
      </c>
      <c r="D26" s="7"/>
      <c r="E26" s="2"/>
      <c r="F26" s="5">
        <f>'Budzet 2018'!I1412</f>
        <v>2000000</v>
      </c>
      <c r="G26" s="5">
        <f>'Budzet 2018'!J1412</f>
        <v>0</v>
      </c>
      <c r="H26" s="5">
        <f>'Budzet 2018'!K1412</f>
        <v>2000000</v>
      </c>
    </row>
    <row r="27" spans="1:8" ht="45" x14ac:dyDescent="0.2">
      <c r="A27" s="12"/>
      <c r="B27" s="12"/>
      <c r="C27" s="7" t="str">
        <f>'Budzet 2018'!H1414</f>
        <v>ПРОЈЕКАТ 1.9 - Изградња  атмосферске канализације у Војвођанској и улици Соње Маринковић</v>
      </c>
      <c r="D27" s="7"/>
      <c r="E27" s="2"/>
      <c r="F27" s="5">
        <f>'Budzet 2018'!I1419</f>
        <v>2000</v>
      </c>
      <c r="G27" s="5">
        <f>'Budzet 2018'!J1419</f>
        <v>0</v>
      </c>
      <c r="H27" s="5">
        <f>'Budzet 2018'!K1419</f>
        <v>2000</v>
      </c>
    </row>
    <row r="28" spans="1:8" ht="45" x14ac:dyDescent="0.2">
      <c r="A28" s="12"/>
      <c r="B28" s="12"/>
      <c r="C28" s="7" t="str">
        <f>'Budzet 2018'!H1421</f>
        <v>ПРОЈЕКАТ 1.10 - Израда Идејног решења атмосферске канализације насеља Инђија - слив 3</v>
      </c>
      <c r="D28" s="7"/>
      <c r="E28" s="2"/>
      <c r="F28" s="5">
        <f>'Budzet 2018'!I1424</f>
        <v>500000</v>
      </c>
      <c r="G28" s="5">
        <f>'Budzet 2018'!J1424</f>
        <v>0</v>
      </c>
      <c r="H28" s="5">
        <f>'Budzet 2018'!K1424</f>
        <v>500000</v>
      </c>
    </row>
    <row r="29" spans="1:8" ht="56.25" x14ac:dyDescent="0.2">
      <c r="A29" s="12"/>
      <c r="B29" s="12"/>
      <c r="C29" s="7" t="str">
        <f>'Budzet 2018'!H1426</f>
        <v>ПРОЈЕКАТ 1.11 - Израда пројектне документације атмосферске канализације у улици Занатлијска трећи део у Инђији</v>
      </c>
      <c r="D29" s="7"/>
      <c r="E29" s="2"/>
      <c r="F29" s="5">
        <f>'Budzet 2018'!I1429</f>
        <v>450000</v>
      </c>
      <c r="G29" s="5">
        <f>'Budzet 2018'!J1429</f>
        <v>0</v>
      </c>
      <c r="H29" s="5">
        <f>'Budzet 2018'!K1429</f>
        <v>450000</v>
      </c>
    </row>
    <row r="30" spans="1:8" ht="56.25" x14ac:dyDescent="0.2">
      <c r="A30" s="12"/>
      <c r="B30" s="12"/>
      <c r="C30" s="7" t="str">
        <f>'Budzet 2018'!H1431</f>
        <v>ПРОЈЕКАТ 1.12 -Израда пројектне документације атмосферске канализације у улици Михаила Пупина  у Инђији</v>
      </c>
      <c r="D30" s="7"/>
      <c r="E30" s="2"/>
      <c r="F30" s="5">
        <f>'Budzet 2018'!I1434</f>
        <v>300000</v>
      </c>
      <c r="G30" s="5">
        <f>'Budzet 2018'!J1424</f>
        <v>0</v>
      </c>
      <c r="H30" s="4">
        <f t="shared" si="1"/>
        <v>300000</v>
      </c>
    </row>
    <row r="31" spans="1:8" ht="56.25" x14ac:dyDescent="0.2">
      <c r="A31" s="12"/>
      <c r="B31" s="12"/>
      <c r="C31" s="7" t="str">
        <f>'Budzet 2018'!H1436</f>
        <v>ПРОЈЕКАТ 1.13 - Израда пројектне документације за изградњу јавне расвете у индустријској зони  Инђија -Локација 15</v>
      </c>
      <c r="D31" s="7"/>
      <c r="E31" s="2"/>
      <c r="F31" s="5">
        <f>'Budzet 2018'!I1440</f>
        <v>1000000</v>
      </c>
      <c r="G31" s="5">
        <f>'Budzet 2018'!J1429</f>
        <v>0</v>
      </c>
      <c r="H31" s="4">
        <f t="shared" si="1"/>
        <v>1000000</v>
      </c>
    </row>
    <row r="32" spans="1:8" ht="45" x14ac:dyDescent="0.2">
      <c r="A32" s="12"/>
      <c r="B32" s="12"/>
      <c r="C32" s="7" t="str">
        <f>'Budzet 2018'!H1442</f>
        <v>ПРОЈЕКАТ 1.14 - Израда пројектне документације за изградњу јавне расвете у индустријској зони  Бешка</v>
      </c>
      <c r="D32" s="7"/>
      <c r="E32" s="2"/>
      <c r="F32" s="5">
        <f>'Budzet 2018'!I1445</f>
        <v>500000</v>
      </c>
      <c r="G32" s="5">
        <f>'Budzet 2018'!J1434</f>
        <v>0</v>
      </c>
      <c r="H32" s="4">
        <f t="shared" si="1"/>
        <v>500000</v>
      </c>
    </row>
    <row r="33" spans="1:8" ht="45" x14ac:dyDescent="0.2">
      <c r="A33" s="12"/>
      <c r="B33" s="12"/>
      <c r="C33" s="7" t="str">
        <f>'Budzet 2018'!H1447</f>
        <v>ПРОЈЕКАТ 1.15 - Израда пројектне документације за осветљење пешачких прелаза у зони школа</v>
      </c>
      <c r="D33" s="7"/>
      <c r="E33" s="2"/>
      <c r="F33" s="5">
        <f>'Budzet 2018'!I1450</f>
        <v>1000</v>
      </c>
      <c r="G33" s="5">
        <f>'Budzet 2018'!J1440</f>
        <v>0</v>
      </c>
      <c r="H33" s="4">
        <f t="shared" si="1"/>
        <v>1000</v>
      </c>
    </row>
    <row r="34" spans="1:8" ht="33.75" x14ac:dyDescent="0.2">
      <c r="A34" s="12"/>
      <c r="B34" s="12"/>
      <c r="C34" s="7" t="str">
        <f>'Budzet 2018'!H1452</f>
        <v>ПРОЈЕКАТ 1.16 - Израдња стубне трафо станице (СТС) Каменова  улица</v>
      </c>
      <c r="D34" s="7"/>
      <c r="E34" s="2"/>
      <c r="F34" s="5">
        <f>'Budzet 2018'!I1456</f>
        <v>2000</v>
      </c>
      <c r="G34" s="5">
        <f>'Budzet 2018'!J1445</f>
        <v>0</v>
      </c>
      <c r="H34" s="4">
        <f t="shared" si="1"/>
        <v>2000</v>
      </c>
    </row>
    <row r="35" spans="1:8" ht="40.5" customHeight="1" x14ac:dyDescent="0.2">
      <c r="A35" s="12"/>
      <c r="B35" s="12"/>
      <c r="C35" s="7" t="str">
        <f>'Budzet 2018'!H1458</f>
        <v>ПРОЈЕКАТ 1.17 - Израдња стубне трафо станице (СТС) Новосадска</v>
      </c>
      <c r="D35" s="7"/>
      <c r="E35" s="2"/>
      <c r="F35" s="5">
        <f>'Budzet 2018'!I1462</f>
        <v>2000</v>
      </c>
      <c r="G35" s="5">
        <f>'Budzet 2018'!J1450</f>
        <v>0</v>
      </c>
      <c r="H35" s="4">
        <f t="shared" si="1"/>
        <v>2000</v>
      </c>
    </row>
    <row r="36" spans="1:8" ht="38.25" customHeight="1" x14ac:dyDescent="0.2">
      <c r="A36" s="12"/>
      <c r="B36" s="12"/>
      <c r="C36" s="7" t="str">
        <f>'Budzet 2018'!H1464</f>
        <v>ПРОЈЕКАТ 1.18 - Учешће у изградњи продужетака НН мреже у Калакачи Бешка</v>
      </c>
      <c r="D36" s="7"/>
      <c r="E36" s="2"/>
      <c r="F36" s="5">
        <f>'Budzet 2018'!I1467</f>
        <v>5800000</v>
      </c>
      <c r="G36" s="5">
        <f>'Budzet 2018'!J1467</f>
        <v>0</v>
      </c>
      <c r="H36" s="4">
        <f t="shared" si="1"/>
        <v>5800000</v>
      </c>
    </row>
    <row r="37" spans="1:8" ht="48" customHeight="1" x14ac:dyDescent="0.2">
      <c r="A37" s="12"/>
      <c r="B37" s="12"/>
      <c r="C37" s="7" t="str">
        <f>'Budzet 2018'!H1469</f>
        <v>ПРОЈЕКАТ 1.19 - Израда пројектне документације реконструкције градске пијаце у Инђији</v>
      </c>
      <c r="D37" s="7"/>
      <c r="E37" s="2"/>
      <c r="F37" s="5">
        <f>'Budzet 2018'!I1472</f>
        <v>6000000</v>
      </c>
      <c r="G37" s="5">
        <f>'Budzet 2018'!J1472</f>
        <v>0</v>
      </c>
      <c r="H37" s="4">
        <f t="shared" si="1"/>
        <v>6000000</v>
      </c>
    </row>
    <row r="38" spans="1:8" ht="33.75" customHeight="1" x14ac:dyDescent="0.2">
      <c r="A38" s="12"/>
      <c r="B38" s="12"/>
      <c r="C38" s="7" t="str">
        <f>'Budzet 2018'!H1474</f>
        <v>ПРОЈЕКАТ 1.20 -Реконструкција градске пијаце у Инђији</v>
      </c>
      <c r="D38" s="7"/>
      <c r="E38" s="2"/>
      <c r="F38" s="5">
        <f>'Budzet 2018'!I1478</f>
        <v>2000</v>
      </c>
      <c r="G38" s="5">
        <f>'Budzet 2018'!J1484</f>
        <v>0</v>
      </c>
      <c r="H38" s="4">
        <f t="shared" si="1"/>
        <v>2000</v>
      </c>
    </row>
    <row r="39" spans="1:8" ht="50.25" customHeight="1" x14ac:dyDescent="0.2">
      <c r="A39" s="12"/>
      <c r="B39" s="12"/>
      <c r="C39" s="7" t="str">
        <f>'Budzet 2018'!H1480</f>
        <v xml:space="preserve">ПРОЈЕКАТ 1.21 - Изградња продужетака мреже јавне расветеу улицама на територији општине Инђија </v>
      </c>
      <c r="D39" s="7"/>
      <c r="E39" s="2"/>
      <c r="F39" s="5">
        <f>'Budzet 2018'!I1484</f>
        <v>2000</v>
      </c>
      <c r="G39" s="5">
        <f>'Budzet 2018'!J1489</f>
        <v>0</v>
      </c>
      <c r="H39" s="4">
        <f t="shared" si="1"/>
        <v>2000</v>
      </c>
    </row>
    <row r="40" spans="1:8" ht="91.5" customHeight="1" x14ac:dyDescent="0.2">
      <c r="A40" s="12"/>
      <c r="B40" s="12"/>
      <c r="C40" s="7" t="str">
        <f>'Budzet 2018'!H1486</f>
        <v>ПРОЈЕКАТ 1.22 - Израда пројектне документације за изградњу фекалне канализације у насељима општине Инђија  (Бешка трећа фаза, Нови Карловци, Нови Сланкамен и Стари Сланкамен)</v>
      </c>
      <c r="D40" s="7"/>
      <c r="E40" s="2"/>
      <c r="F40" s="5">
        <f>'Budzet 2018'!I1489</f>
        <v>1000</v>
      </c>
      <c r="G40" s="5">
        <f>'Budzet 2018'!J1494</f>
        <v>0</v>
      </c>
      <c r="H40" s="4">
        <f t="shared" si="1"/>
        <v>1000</v>
      </c>
    </row>
    <row r="41" spans="1:8" ht="60.75" customHeight="1" x14ac:dyDescent="0.2">
      <c r="A41" s="12"/>
      <c r="B41" s="12"/>
      <c r="C41" s="7" t="str">
        <f>'Budzet 2018'!H1491</f>
        <v>ПРОЈЕКАТ 1.23- Израда 3Д модела рекламних плаката и брошура за потребе инвестиција предвиђених програмом</v>
      </c>
      <c r="D41" s="7"/>
      <c r="E41" s="2"/>
      <c r="F41" s="5">
        <f>'Budzet 2018'!I1494</f>
        <v>1000000</v>
      </c>
      <c r="G41" s="5">
        <f>'Budzet 2018'!J1494</f>
        <v>0</v>
      </c>
      <c r="H41" s="5">
        <f>'Budzet 2018'!K1494</f>
        <v>1000000</v>
      </c>
    </row>
    <row r="42" spans="1:8" ht="67.5" x14ac:dyDescent="0.2">
      <c r="A42" s="12"/>
      <c r="B42" s="12"/>
      <c r="C42" s="7" t="str">
        <f>'Budzet 2018'!H1496</f>
        <v>ПРОЈЕКАТ 1.24 - Извођење радова на опремању индустријске зоне Локација 15 - друга фаза (пут, вода и фекална канализација дуж саобраћајнице С-2)</v>
      </c>
      <c r="D42" s="7"/>
      <c r="E42" s="2"/>
      <c r="F42" s="5">
        <f>'Budzet 2018'!I1500</f>
        <v>2000</v>
      </c>
      <c r="G42" s="5">
        <f>'Budzet 2018'!J1500</f>
        <v>0</v>
      </c>
      <c r="H42" s="4">
        <f t="shared" si="1"/>
        <v>2000</v>
      </c>
    </row>
    <row r="43" spans="1:8" ht="141.75" customHeight="1" x14ac:dyDescent="0.2">
      <c r="A43" s="12"/>
      <c r="B43" s="12"/>
      <c r="C43" s="7" t="str">
        <f>'Budzet 2018'!H1502</f>
        <v>ПРОЈЕКАТ 1.24А - Извођење радова на опремању индустријске зоне Локација 15 - друга фаза (пут, вода и фекална канализација дуж саобраћајнице С-2) - фаза изградње фекалне канализације дуж десног крака саобраћајнице С2 од шахта Ф3-19 до шахта Ф2-27</v>
      </c>
      <c r="D43" s="7"/>
      <c r="E43" s="2"/>
      <c r="F43" s="5">
        <f>'Budzet 2018'!I1503</f>
        <v>14097906.99</v>
      </c>
      <c r="G43" s="5">
        <f>'Budzet 2018'!J1503</f>
        <v>0</v>
      </c>
      <c r="H43" s="5">
        <f>'Budzet 2018'!K1503</f>
        <v>14097906.99</v>
      </c>
    </row>
    <row r="44" spans="1:8" ht="45" x14ac:dyDescent="0.2">
      <c r="A44" s="12"/>
      <c r="B44" s="12"/>
      <c r="C44" s="7" t="str">
        <f>'Budzet 2018'!H1508</f>
        <v>ПРОЈЕКАТ 1.25 -Учешће у изградњи средњенапонског далековода од Н. Сланкамена до Сурдука</v>
      </c>
      <c r="D44" s="7"/>
      <c r="E44" s="2"/>
      <c r="F44" s="5">
        <f>'Budzet 2018'!I1511</f>
        <v>1000</v>
      </c>
      <c r="G44" s="5">
        <f>'Budzet 2018'!J1511</f>
        <v>0</v>
      </c>
      <c r="H44" s="4">
        <f t="shared" si="1"/>
        <v>1000</v>
      </c>
    </row>
    <row r="45" spans="1:8" ht="45" x14ac:dyDescent="0.2">
      <c r="A45" s="12"/>
      <c r="B45" s="12"/>
      <c r="C45" s="7" t="str">
        <f>'Budzet 2018'!H1513</f>
        <v>ПРОЈЕКАТ 1.26 - Изградња уличног водовода у делу улице Десанке Максимовић у Инђији</v>
      </c>
      <c r="D45" s="7"/>
      <c r="E45" s="2"/>
      <c r="F45" s="5">
        <f>'Budzet 2018'!I1519</f>
        <v>1840000</v>
      </c>
      <c r="G45" s="5">
        <f>'Budzet 2018'!J1519</f>
        <v>0</v>
      </c>
      <c r="H45" s="4">
        <f t="shared" si="1"/>
        <v>1840000</v>
      </c>
    </row>
    <row r="46" spans="1:8" ht="60" customHeight="1" x14ac:dyDescent="0.2">
      <c r="A46" s="12"/>
      <c r="B46" s="12"/>
      <c r="C46" s="7" t="str">
        <f>'Budzet 2018'!H1521</f>
        <v>ПРОЈЕКАТ 1.27 - Стручни надзор над изградњом водоводне мреже и фекалне канализације дуж саобраћајнице С2</v>
      </c>
      <c r="D46" s="7"/>
      <c r="E46" s="2"/>
      <c r="F46" s="5">
        <f>'Budzet 2018'!I1524</f>
        <v>1200000</v>
      </c>
      <c r="G46" s="5">
        <f>'Budzet 2018'!J1524</f>
        <v>0</v>
      </c>
      <c r="H46" s="4">
        <f t="shared" si="1"/>
        <v>1200000</v>
      </c>
    </row>
    <row r="47" spans="1:8" ht="56.25" x14ac:dyDescent="0.2">
      <c r="A47" s="12"/>
      <c r="B47" s="12"/>
      <c r="C47" s="7" t="str">
        <f>'Budzet 2018'!H1526</f>
        <v>ПРОЈЕКАТ 1.28 - Стручни надзор над изградњом колектора фекалне канализације за потребе индустријске зоне Бешка</v>
      </c>
      <c r="D47" s="7"/>
      <c r="E47" s="2"/>
      <c r="F47" s="5">
        <f>'Budzet 2018'!I1529</f>
        <v>1000</v>
      </c>
      <c r="G47" s="5">
        <f>'Budzet 2018'!J1529</f>
        <v>0</v>
      </c>
      <c r="H47" s="4">
        <f t="shared" si="1"/>
        <v>1000</v>
      </c>
    </row>
    <row r="48" spans="1:8" ht="45" x14ac:dyDescent="0.2">
      <c r="A48" s="12"/>
      <c r="B48" s="12"/>
      <c r="C48" s="7" t="str">
        <f>'Budzet 2018'!H1531</f>
        <v>ПРОЈЕКАТ 1.29 - Санација јавног осветљења у насељеном месту Јарковци у општини Инђија</v>
      </c>
      <c r="D48" s="7"/>
      <c r="E48" s="2"/>
      <c r="F48" s="5">
        <f>'Budzet 2018'!I1535</f>
        <v>1000</v>
      </c>
      <c r="G48" s="5">
        <f>'Budzet 2018'!J1535</f>
        <v>0</v>
      </c>
      <c r="H48" s="4">
        <f t="shared" si="1"/>
        <v>1000</v>
      </c>
    </row>
    <row r="49" spans="1:12" ht="77.25" customHeight="1" x14ac:dyDescent="0.2">
      <c r="A49" s="12"/>
      <c r="B49" s="12"/>
      <c r="C49" s="7" t="str">
        <f>'Budzet 2018'!H1537</f>
        <v>ПРОЈЕКАТ 1.30 - Израда претходне студије оправданости за пречишћавање отпадних вода у индустријској зони у Инђији</v>
      </c>
      <c r="D49" s="7"/>
      <c r="E49" s="2"/>
      <c r="F49" s="5">
        <f>'Budzet 2018'!I1540</f>
        <v>3000000</v>
      </c>
      <c r="G49" s="5">
        <f>'Budzet 2018'!J1540</f>
        <v>0</v>
      </c>
      <c r="H49" s="5">
        <f>'Budzet 2018'!K1540</f>
        <v>3000000</v>
      </c>
    </row>
    <row r="50" spans="1:12" s="25" customFormat="1" ht="22.5" x14ac:dyDescent="0.2">
      <c r="A50" s="23"/>
      <c r="B50" s="23"/>
      <c r="C50" s="24" t="str">
        <f>'Budzet 2018'!H2036</f>
        <v>ПРОЈЕКАТ 1 "Постројење за припрему воде"</v>
      </c>
      <c r="D50" s="24"/>
      <c r="E50" s="2"/>
      <c r="F50" s="5">
        <f>'Budzet 2018'!I2041</f>
        <v>1000</v>
      </c>
      <c r="G50" s="5">
        <f>'Budzet 2018'!J2038</f>
        <v>0</v>
      </c>
      <c r="H50" s="10">
        <f t="shared" ref="H50:H53" si="2">SUM(F50:G50)</f>
        <v>1000</v>
      </c>
    </row>
    <row r="51" spans="1:12" ht="149.25" customHeight="1" x14ac:dyDescent="0.2">
      <c r="A51" s="12"/>
      <c r="B51" s="12"/>
      <c r="C51" s="546" t="str">
        <f>'Budzet 2018'!H2043</f>
        <v>ПРОЈЕКАТ 2 ЈКП ""Водовод и канализација" изградња сабирних цевовода и батерије бунара б23, б24 и б25 на инђијском изворишту на катастарским парцелама 7510/16, 7510/20, 7510/24 и 7710/14, све к.о. Инђија - фаза  i / изградња сабирног цевовода и бушење бунара б-24д и б-24п, изградња бунарских шахтова и ограде бунара/</v>
      </c>
      <c r="D51" s="7"/>
      <c r="E51" s="2"/>
      <c r="F51" s="5">
        <f>'Budzet 2018'!I2048</f>
        <v>17120001.34</v>
      </c>
      <c r="G51" s="5">
        <f>'Budzet 2018'!J2048</f>
        <v>0</v>
      </c>
      <c r="H51" s="4">
        <f t="shared" si="2"/>
        <v>17120001.34</v>
      </c>
    </row>
    <row r="52" spans="1:12" ht="118.5" customHeight="1" x14ac:dyDescent="0.2">
      <c r="A52" s="12"/>
      <c r="B52" s="12"/>
      <c r="C52" s="546" t="str">
        <f>'Budzet 2018'!H2050</f>
        <v>ПРОЈЕКАТ 3 ЈКП "Водовод и канализација"  пројекат за грађевинску дозволу за изградњу сабирних цевовода и батерије бунара б23, б24 и б25 на инђијском изворишту на катастарским парцелама 7510/16, 7510/20, 7510/24 и 7710/14, све к.о. Инђија</v>
      </c>
      <c r="D52" s="7"/>
      <c r="E52" s="2"/>
      <c r="F52" s="5">
        <f>'Budzet 2018'!I2054</f>
        <v>530208</v>
      </c>
      <c r="G52" s="5">
        <f>'Budzet 2018'!J2054</f>
        <v>0</v>
      </c>
      <c r="H52" s="4">
        <f t="shared" si="2"/>
        <v>530208</v>
      </c>
    </row>
    <row r="53" spans="1:12" ht="140.25" customHeight="1" x14ac:dyDescent="0.2">
      <c r="A53" s="12"/>
      <c r="B53" s="12"/>
      <c r="C53" s="546" t="str">
        <f>'Budzet 2018'!H2056</f>
        <v>ПРОЈЕКАТ 4 ЈКП "Водовод и канализација" изградња сабирних цевовода и батерије бунара б23, б24 и б25 на инђијском изворишту на катастарским парцелама 7510/16, 7510/24 и 7710/14, све ко Инђија - фаза 4 изградња сабирног цевовода, напојног вода и бушење и опремање бунара б25д и б25п</v>
      </c>
      <c r="D53" s="7"/>
      <c r="E53" s="2"/>
      <c r="F53" s="5">
        <f>'Budzet 2018'!K2060</f>
        <v>33964466.32</v>
      </c>
      <c r="G53" s="5">
        <f>'Budzet 2018'!L2056</f>
        <v>0</v>
      </c>
      <c r="H53" s="4">
        <f t="shared" si="2"/>
        <v>33964466.32</v>
      </c>
    </row>
    <row r="54" spans="1:12" ht="73.5" customHeight="1" x14ac:dyDescent="0.2">
      <c r="A54" s="12"/>
      <c r="B54" s="12"/>
      <c r="C54" s="547" t="s">
        <v>1035</v>
      </c>
      <c r="D54" s="7"/>
      <c r="E54" s="2"/>
      <c r="F54" s="548">
        <f>'Budzet 2018'!I2066</f>
        <v>34083519.600000001</v>
      </c>
      <c r="G54" s="548">
        <f>'Budzet 2018'!J2066</f>
        <v>0</v>
      </c>
      <c r="H54" s="4">
        <f>SUM(F54:G54)</f>
        <v>34083519.600000001</v>
      </c>
    </row>
    <row r="55" spans="1:12" ht="42.75" customHeight="1" x14ac:dyDescent="0.2">
      <c r="A55" s="75" t="s">
        <v>312</v>
      </c>
      <c r="B55" s="75"/>
      <c r="C55" s="76" t="s">
        <v>499</v>
      </c>
      <c r="D55" s="76" t="s">
        <v>590</v>
      </c>
      <c r="E55" s="76" t="s">
        <v>591</v>
      </c>
      <c r="F55" s="77">
        <f>SUM(F56:F67)</f>
        <v>108405400</v>
      </c>
      <c r="G55" s="77">
        <f>SUM(G56:G67)</f>
        <v>0</v>
      </c>
      <c r="H55" s="77">
        <f>SUM(H56:H67)</f>
        <v>108405400</v>
      </c>
      <c r="L55" s="538"/>
    </row>
    <row r="56" spans="1:12" ht="45" x14ac:dyDescent="0.2">
      <c r="A56" s="12"/>
      <c r="B56" s="12" t="str">
        <f>'Budzet 2018'!E428</f>
        <v>1501-0001</v>
      </c>
      <c r="C56" s="7" t="str">
        <f>'Budzet 2018'!H428</f>
        <v>Унапређење привредног  и инвестиционог амбијента</v>
      </c>
      <c r="D56" s="7" t="s">
        <v>740</v>
      </c>
      <c r="E56" s="7" t="s">
        <v>741</v>
      </c>
      <c r="F56" s="6">
        <f>'Budzet 2018'!I435+'Budzet 2018'!I1011+'Budzet 2018'!I2180</f>
        <v>22770000</v>
      </c>
      <c r="G56" s="6">
        <f>'Budzet 2018'!J435+'Budzet 2018'!J2179</f>
        <v>0</v>
      </c>
      <c r="H56" s="4">
        <f>SUM(F56:G56)</f>
        <v>22770000</v>
      </c>
    </row>
    <row r="57" spans="1:12" ht="64.5" customHeight="1" x14ac:dyDescent="0.2">
      <c r="A57" s="12"/>
      <c r="B57" s="12" t="str">
        <f>'Budzet 2018'!E2183</f>
        <v>1501-0003</v>
      </c>
      <c r="C57" s="7" t="str">
        <f>'Budzet 2018'!H2183</f>
        <v>Подршка економском развоју и промоцији предузетништва</v>
      </c>
      <c r="D57" s="7" t="s">
        <v>592</v>
      </c>
      <c r="E57" s="7" t="s">
        <v>593</v>
      </c>
      <c r="F57" s="6">
        <f>'Budzet 2018'!I2191</f>
        <v>7789900</v>
      </c>
      <c r="G57" s="6">
        <f>'Budzet 2018'!J2191</f>
        <v>0</v>
      </c>
      <c r="H57" s="4">
        <f>SUM(F57:G57)</f>
        <v>7789900</v>
      </c>
    </row>
    <row r="58" spans="1:12" ht="33.75" x14ac:dyDescent="0.2">
      <c r="A58" s="12"/>
      <c r="B58" s="12"/>
      <c r="C58" s="19" t="str">
        <f>'Budzet 2018'!H437</f>
        <v>ПРОЈЕКАТ  1 "КОНКУРС ЗА ОСТАЛЕ НЕВЛАДИНЕ ОРГАНИЗАЦИЈЕ"</v>
      </c>
      <c r="D58" s="7"/>
      <c r="E58" s="7"/>
      <c r="F58" s="6">
        <f>'Budzet 2018'!I441</f>
        <v>9100000</v>
      </c>
      <c r="G58" s="6">
        <f>'Budzet 2018'!J441</f>
        <v>0</v>
      </c>
      <c r="H58" s="4">
        <f t="shared" ref="H58:H66" si="3">SUM(F58:G58)</f>
        <v>9100000</v>
      </c>
    </row>
    <row r="59" spans="1:12" ht="54" customHeight="1" x14ac:dyDescent="0.2">
      <c r="A59" s="12"/>
      <c r="B59" s="12"/>
      <c r="C59" s="19" t="str">
        <f>'Budzet 2018'!H443</f>
        <v>ПРОЈЕКАТ 2 "СУФИНАСИРАЊЕ ПРОЈЕКТА - АКТИВНИ ПОТРОШАЧИ"</v>
      </c>
      <c r="D59" s="7"/>
      <c r="E59" s="7"/>
      <c r="F59" s="6">
        <f>'Budzet 2018'!I445</f>
        <v>52500</v>
      </c>
      <c r="G59" s="6"/>
      <c r="H59" s="4">
        <f t="shared" si="3"/>
        <v>52500</v>
      </c>
    </row>
    <row r="60" spans="1:12" ht="48.75" customHeight="1" x14ac:dyDescent="0.2">
      <c r="A60" s="12"/>
      <c r="B60" s="12"/>
      <c r="C60" s="19" t="str">
        <f>'Budzet 2018'!H1975</f>
        <v>ПРОЈЕКАТ 1 - Израда геомеханичког елабората земљишта на локацији 15 у Инђији</v>
      </c>
      <c r="D60" s="7"/>
      <c r="E60" s="7"/>
      <c r="F60" s="6">
        <f>'Budzet 2018'!I1978</f>
        <v>600000</v>
      </c>
      <c r="G60" s="6">
        <f>'Budzet 2018'!J1978</f>
        <v>0</v>
      </c>
      <c r="H60" s="6">
        <f>'Budzet 2018'!K1978</f>
        <v>600000</v>
      </c>
    </row>
    <row r="61" spans="1:12" ht="33.75" x14ac:dyDescent="0.2">
      <c r="A61" s="12"/>
      <c r="B61" s="12"/>
      <c r="C61" s="546" t="str">
        <f>'Budzet 2018'!H2195</f>
        <v>ПРОЈЕКАТ 1 - "ПОДСТИЦАЈИ ЗА РАЗВОЈ ПРЕДУЗЕТНИШТВА"</v>
      </c>
      <c r="D61" s="7"/>
      <c r="E61" s="7"/>
      <c r="F61" s="6">
        <f>'Budzet 2018'!I2199</f>
        <v>5000000</v>
      </c>
      <c r="G61" s="6">
        <f>'Budzet 2018'!J2199</f>
        <v>0</v>
      </c>
      <c r="H61" s="4">
        <f t="shared" si="3"/>
        <v>5000000</v>
      </c>
    </row>
    <row r="62" spans="1:12" ht="56.25" x14ac:dyDescent="0.2">
      <c r="A62" s="12"/>
      <c r="B62" s="12"/>
      <c r="C62" s="546" t="str">
        <f>'Budzet 2018'!H2203</f>
        <v>ПРОЈЕКАТ 2 - "СУБВЕНЦИОНИСАЊЕ ДЕЛА КАМАТНИХ СТОПА ЗА ПРЕДУЗЕЋА И ПРЕДУЗЕТНИКЕ"</v>
      </c>
      <c r="D62" s="7"/>
      <c r="E62" s="7"/>
      <c r="F62" s="6">
        <f>'Budzet 2018'!I2207</f>
        <v>2970000</v>
      </c>
      <c r="G62" s="6">
        <f>'Budzet 2018'!J2207</f>
        <v>0</v>
      </c>
      <c r="H62" s="4">
        <f t="shared" si="3"/>
        <v>2970000</v>
      </c>
    </row>
    <row r="63" spans="1:12" ht="22.5" x14ac:dyDescent="0.2">
      <c r="A63" s="12"/>
      <c r="B63" s="12"/>
      <c r="C63" s="546" t="str">
        <f>'Budzet 2018'!H2211</f>
        <v>ПРОЈЕКАТ 3 - "Промоција општине Инђија"</v>
      </c>
      <c r="D63" s="7"/>
      <c r="E63" s="7"/>
      <c r="F63" s="6">
        <f>'Budzet 2018'!I2217</f>
        <v>12500000</v>
      </c>
      <c r="G63" s="6">
        <f>'Budzet 2018'!J2217</f>
        <v>0</v>
      </c>
      <c r="H63" s="4">
        <f t="shared" si="3"/>
        <v>12500000</v>
      </c>
    </row>
    <row r="64" spans="1:12" ht="45" x14ac:dyDescent="0.2">
      <c r="A64" s="12"/>
      <c r="B64" s="12"/>
      <c r="C64" s="546" t="str">
        <f>'Budzet 2018'!H2221</f>
        <v>ПРОЈЕКАТ 4 - "ПОДСТИЦАЈИ ЗАПОШЉАВАЊА НЕЗАПОСЛЕНИХ ЛИЦА"</v>
      </c>
      <c r="D64" s="7"/>
      <c r="E64" s="7"/>
      <c r="F64" s="6">
        <f>'Budzet 2018'!I2226</f>
        <v>11000000</v>
      </c>
      <c r="G64" s="6">
        <f>'Budzet 2018'!J2226</f>
        <v>0</v>
      </c>
      <c r="H64" s="4">
        <f t="shared" si="3"/>
        <v>11000000</v>
      </c>
    </row>
    <row r="65" spans="1:12" ht="22.5" x14ac:dyDescent="0.2">
      <c r="A65" s="12"/>
      <c r="B65" s="12"/>
      <c r="C65" s="549" t="str">
        <f>'Budzet 2018'!H2229</f>
        <v>ПРОЈЕКАТ 5 - "РАЗВОЈНИ ПРОЈЕКТИ"</v>
      </c>
      <c r="D65" s="7"/>
      <c r="E65" s="7"/>
      <c r="F65" s="6">
        <f>'Budzet 2018'!I2237</f>
        <v>29901000</v>
      </c>
      <c r="G65" s="6">
        <f>'Budzet 2018'!J2237</f>
        <v>0</v>
      </c>
      <c r="H65" s="4">
        <f t="shared" si="3"/>
        <v>29901000</v>
      </c>
    </row>
    <row r="66" spans="1:12" ht="27" customHeight="1" x14ac:dyDescent="0.2">
      <c r="A66" s="12"/>
      <c r="B66" s="12"/>
      <c r="C66" s="7" t="str">
        <f>'Budzet 2018'!H2246</f>
        <v>ПРОЈЕКАТ 6  - "Изградња царинског складишта "</v>
      </c>
      <c r="D66" s="7"/>
      <c r="E66" s="7"/>
      <c r="F66" s="6">
        <f>'Budzet 2018'!I2250</f>
        <v>2000</v>
      </c>
      <c r="G66" s="6">
        <f>'Budzet 2018'!J2250</f>
        <v>0</v>
      </c>
      <c r="H66" s="4">
        <f t="shared" si="3"/>
        <v>2000</v>
      </c>
    </row>
    <row r="67" spans="1:12" ht="66" customHeight="1" x14ac:dyDescent="0.2">
      <c r="A67" s="12"/>
      <c r="B67" s="12"/>
      <c r="C67" s="550" t="str">
        <f>'Budzet 2018'!H2254</f>
        <v>ПРОЈЕКАТ 7  - "Израда пројектне документације и реконструкција зграде суда  у Инђији "</v>
      </c>
      <c r="D67" s="7"/>
      <c r="E67" s="2"/>
      <c r="F67" s="548">
        <f>'Budzet 2018'!I2257</f>
        <v>6720000</v>
      </c>
      <c r="G67" s="548">
        <f>'Budzet 2018'!J2257</f>
        <v>0</v>
      </c>
      <c r="H67" s="548">
        <f>'Budzet 2018'!K2257</f>
        <v>6720000</v>
      </c>
    </row>
    <row r="68" spans="1:12" ht="22.5" x14ac:dyDescent="0.2">
      <c r="A68" s="75" t="s">
        <v>474</v>
      </c>
      <c r="B68" s="75"/>
      <c r="C68" s="76" t="s">
        <v>500</v>
      </c>
      <c r="D68" s="76" t="s">
        <v>594</v>
      </c>
      <c r="E68" s="76" t="s">
        <v>595</v>
      </c>
      <c r="F68" s="77">
        <f>SUM(F69:F71)</f>
        <v>9299400</v>
      </c>
      <c r="G68" s="77">
        <f t="shared" ref="G68:H68" si="4">SUM(G69:G71)</f>
        <v>176000</v>
      </c>
      <c r="H68" s="77">
        <f t="shared" si="4"/>
        <v>9475400</v>
      </c>
      <c r="L68" s="538"/>
    </row>
    <row r="69" spans="1:12" ht="33.75" x14ac:dyDescent="0.2">
      <c r="A69" s="12"/>
      <c r="B69" s="8" t="s">
        <v>283</v>
      </c>
      <c r="C69" s="2" t="str">
        <f>'Budzet 2018'!H793</f>
        <v>Управљање развојем туризма</v>
      </c>
      <c r="D69" s="2" t="s">
        <v>596</v>
      </c>
      <c r="E69" s="2" t="s">
        <v>597</v>
      </c>
      <c r="F69" s="6">
        <f>SUM('Budzet 2018'!I816)</f>
        <v>5806400</v>
      </c>
      <c r="G69" s="6">
        <f>SUM('Budzet 2018'!J816)</f>
        <v>4000</v>
      </c>
      <c r="H69" s="4">
        <f t="shared" ref="H69:H83" si="5">SUM(F69:G69)</f>
        <v>5810400</v>
      </c>
    </row>
    <row r="70" spans="1:12" ht="33.75" x14ac:dyDescent="0.2">
      <c r="A70" s="12"/>
      <c r="B70" s="8" t="s">
        <v>293</v>
      </c>
      <c r="C70" s="2" t="str">
        <f>'Budzet 2018'!H819</f>
        <v xml:space="preserve">Промоција туристичке понуде </v>
      </c>
      <c r="D70" s="2" t="s">
        <v>598</v>
      </c>
      <c r="E70" s="2" t="s">
        <v>599</v>
      </c>
      <c r="F70" s="4">
        <f>'Budzet 2018'!I834</f>
        <v>3490000</v>
      </c>
      <c r="G70" s="4">
        <f>'Budzet 2018'!J834</f>
        <v>172000</v>
      </c>
      <c r="H70" s="4">
        <f t="shared" si="5"/>
        <v>3662000</v>
      </c>
      <c r="L70" s="538"/>
    </row>
    <row r="71" spans="1:12" ht="33.75" x14ac:dyDescent="0.2">
      <c r="A71" s="12"/>
      <c r="B71" s="8"/>
      <c r="C71" s="11" t="str">
        <f>'Budzet 2018'!H836</f>
        <v>ПРОЈЕКАТ 1 "РЕКОНСТРУКЦИЈА КЕЛТСКОГ НАСЕЉА"</v>
      </c>
      <c r="D71" s="2"/>
      <c r="E71" s="2"/>
      <c r="F71" s="4">
        <f>'Budzet 2018'!I841</f>
        <v>3000</v>
      </c>
      <c r="G71" s="4">
        <f>'Budzet 2018'!J841</f>
        <v>0</v>
      </c>
      <c r="H71" s="4">
        <f t="shared" si="5"/>
        <v>3000</v>
      </c>
    </row>
    <row r="72" spans="1:12" ht="33.75" x14ac:dyDescent="0.2">
      <c r="A72" s="75" t="s">
        <v>314</v>
      </c>
      <c r="B72" s="75"/>
      <c r="C72" s="76" t="s">
        <v>600</v>
      </c>
      <c r="D72" s="76" t="s">
        <v>601</v>
      </c>
      <c r="E72" s="76" t="s">
        <v>724</v>
      </c>
      <c r="F72" s="77">
        <f>SUM(F73:F80)</f>
        <v>180764500</v>
      </c>
      <c r="G72" s="77">
        <f t="shared" ref="G72" si="6">SUM(G73:G78)</f>
        <v>0</v>
      </c>
      <c r="H72" s="77">
        <f>SUM(F72:G72)</f>
        <v>180764500</v>
      </c>
      <c r="L72" s="538"/>
    </row>
    <row r="73" spans="1:12" ht="33.75" x14ac:dyDescent="0.2">
      <c r="A73" s="12"/>
      <c r="B73" s="8" t="s">
        <v>315</v>
      </c>
      <c r="C73" s="2" t="str">
        <f>'Budzet 2018'!H2071</f>
        <v>Подршка за спровођење пољопривредне политике у локалној заједници</v>
      </c>
      <c r="D73" s="2" t="s">
        <v>602</v>
      </c>
      <c r="E73" s="2" t="s">
        <v>603</v>
      </c>
      <c r="F73" s="4">
        <f>'Budzet 2018'!I2083+'Budzet 2018'!I2117</f>
        <v>16036000</v>
      </c>
      <c r="G73" s="4">
        <f>'Budzet 2018'!J2078+'Budzet 2018'!J2114</f>
        <v>0</v>
      </c>
      <c r="H73" s="4">
        <f t="shared" si="5"/>
        <v>16036000</v>
      </c>
    </row>
    <row r="74" spans="1:12" ht="56.25" x14ac:dyDescent="0.2">
      <c r="A74" s="12"/>
      <c r="B74" s="8" t="s">
        <v>518</v>
      </c>
      <c r="C74" s="2" t="str">
        <f>'Budzet 2018'!H2086</f>
        <v>Мере подршке руралном развоју</v>
      </c>
      <c r="D74" s="2" t="s">
        <v>944</v>
      </c>
      <c r="E74" s="2" t="s">
        <v>604</v>
      </c>
      <c r="F74" s="4">
        <f>'Budzet 2018'!I2095+'Budzet 2018'!I2107</f>
        <v>36326500</v>
      </c>
      <c r="G74" s="4">
        <f>'Budzet 2018'!J2091+'Budzet 2018'!J2104</f>
        <v>0</v>
      </c>
      <c r="H74" s="4">
        <f t="shared" si="5"/>
        <v>36326500</v>
      </c>
    </row>
    <row r="75" spans="1:12" ht="45" x14ac:dyDescent="0.2">
      <c r="A75" s="12"/>
      <c r="B75" s="8"/>
      <c r="C75" s="7" t="str">
        <f>'Budzet 2018'!H2121</f>
        <v>ПРОЈЕКАТ 1 - "Уређење каналске мреже у функцији одводњавања на подручју општине Инђија"</v>
      </c>
      <c r="D75" s="2"/>
      <c r="E75" s="2"/>
      <c r="F75" s="4">
        <f>'Budzet 2018'!I2126</f>
        <v>64000000</v>
      </c>
      <c r="G75" s="4">
        <f>'Budzet 2018'!J2126</f>
        <v>0</v>
      </c>
      <c r="H75" s="4">
        <f t="shared" si="5"/>
        <v>64000000</v>
      </c>
    </row>
    <row r="76" spans="1:12" ht="45" x14ac:dyDescent="0.2">
      <c r="A76" s="12"/>
      <c r="B76" s="8"/>
      <c r="C76" s="7" t="str">
        <f>'Budzet 2018'!H2128</f>
        <v>ПРОЈЕКАТ 2  - "Уређење пољопривредне инфраструктуре-атарски путеви"</v>
      </c>
      <c r="D76" s="2"/>
      <c r="E76" s="2"/>
      <c r="F76" s="4">
        <f>'Budzet 2018'!I2135</f>
        <v>35400000</v>
      </c>
      <c r="G76" s="4">
        <f>'Budzet 2018'!J2135</f>
        <v>0</v>
      </c>
      <c r="H76" s="4">
        <f t="shared" si="5"/>
        <v>35400000</v>
      </c>
    </row>
    <row r="77" spans="1:12" ht="28.5" customHeight="1" x14ac:dyDescent="0.2">
      <c r="A77" s="12"/>
      <c r="B77" s="8"/>
      <c r="C77" s="7" t="str">
        <f>'Budzet 2018'!H2137</f>
        <v>ПРОЈЕКАТ 3 - Организовање пољочуварске службе</v>
      </c>
      <c r="D77" s="2"/>
      <c r="E77" s="2"/>
      <c r="F77" s="4">
        <f>'Budzet 2018'!I2142</f>
        <v>20000000</v>
      </c>
      <c r="G77" s="4">
        <f>'Budzet 2018'!J2142</f>
        <v>0</v>
      </c>
      <c r="H77" s="4">
        <f t="shared" si="5"/>
        <v>20000000</v>
      </c>
    </row>
    <row r="78" spans="1:12" ht="59.25" customHeight="1" x14ac:dyDescent="0.2">
      <c r="A78" s="12"/>
      <c r="B78" s="8"/>
      <c r="C78" s="7" t="str">
        <f>'Budzet 2018'!H2145</f>
        <v>ПРОЈЕКАТ 4 - Услуге премера и идентификације катастарских парцела пољопривредног земљишта у државној својини</v>
      </c>
      <c r="D78" s="2"/>
      <c r="E78" s="2"/>
      <c r="F78" s="4">
        <f>'Budzet 2018'!I2149</f>
        <v>6000000</v>
      </c>
      <c r="G78" s="4">
        <f>'Budzet 2018'!J2149</f>
        <v>0</v>
      </c>
      <c r="H78" s="4">
        <f t="shared" si="5"/>
        <v>6000000</v>
      </c>
    </row>
    <row r="79" spans="1:12" ht="25.5" customHeight="1" x14ac:dyDescent="0.2">
      <c r="A79" s="12"/>
      <c r="B79" s="8"/>
      <c r="C79" s="547" t="s">
        <v>978</v>
      </c>
      <c r="D79" s="2"/>
      <c r="E79" s="2"/>
      <c r="F79" s="4">
        <f>SUM('Budzet 2018'!I2153)</f>
        <v>1000</v>
      </c>
      <c r="G79" s="4"/>
      <c r="H79" s="4">
        <f>SUM(F79:G79)</f>
        <v>1000</v>
      </c>
    </row>
    <row r="80" spans="1:12" ht="39" customHeight="1" x14ac:dyDescent="0.2">
      <c r="A80" s="12"/>
      <c r="B80" s="8"/>
      <c r="C80" s="547" t="s">
        <v>1137</v>
      </c>
      <c r="D80" s="2"/>
      <c r="E80" s="2"/>
      <c r="F80" s="4">
        <f>SUM('Budzet 2018'!I2160)</f>
        <v>3001000</v>
      </c>
      <c r="G80" s="4"/>
      <c r="H80" s="4">
        <f>SUM(F80:G80)</f>
        <v>3001000</v>
      </c>
    </row>
    <row r="81" spans="1:12" ht="22.5" x14ac:dyDescent="0.2">
      <c r="A81" s="75" t="s">
        <v>318</v>
      </c>
      <c r="B81" s="75"/>
      <c r="C81" s="76" t="s">
        <v>501</v>
      </c>
      <c r="D81" s="76" t="s">
        <v>725</v>
      </c>
      <c r="E81" s="79" t="s">
        <v>605</v>
      </c>
      <c r="F81" s="77">
        <f>SUM(F82:F84)</f>
        <v>83355760</v>
      </c>
      <c r="G81" s="77"/>
      <c r="H81" s="77">
        <f>SUM(F81:G81)</f>
        <v>83355760</v>
      </c>
      <c r="L81" s="538"/>
    </row>
    <row r="82" spans="1:12" ht="22.5" x14ac:dyDescent="0.2">
      <c r="A82" s="12"/>
      <c r="B82" s="20" t="s">
        <v>819</v>
      </c>
      <c r="C82" s="7" t="s">
        <v>820</v>
      </c>
      <c r="D82" s="7" t="s">
        <v>935</v>
      </c>
      <c r="E82" s="7" t="s">
        <v>605</v>
      </c>
      <c r="F82" s="4">
        <f>'Budzet 2018'!I2283</f>
        <v>65001000</v>
      </c>
      <c r="G82" s="4">
        <f>'Budzet 2018'!J2283</f>
        <v>0</v>
      </c>
      <c r="H82" s="4">
        <f>SUM(F82:G82)</f>
        <v>65001000</v>
      </c>
    </row>
    <row r="83" spans="1:12" ht="22.5" x14ac:dyDescent="0.2">
      <c r="A83" s="12"/>
      <c r="B83" s="20" t="s">
        <v>606</v>
      </c>
      <c r="C83" s="7" t="str">
        <f>'Budzet 2018'!H1328</f>
        <v>Управљање отпадним водама</v>
      </c>
      <c r="D83" s="7" t="s">
        <v>607</v>
      </c>
      <c r="E83" s="7" t="s">
        <v>608</v>
      </c>
      <c r="F83" s="4">
        <f>'Budzet 2018'!I1333</f>
        <v>10154760</v>
      </c>
      <c r="G83" s="4">
        <f>'Budzet 2018'!J1333</f>
        <v>0</v>
      </c>
      <c r="H83" s="4">
        <f t="shared" si="5"/>
        <v>10154760</v>
      </c>
    </row>
    <row r="84" spans="1:12" ht="36.75" customHeight="1" x14ac:dyDescent="0.2">
      <c r="A84" s="12"/>
      <c r="B84" s="20" t="s">
        <v>567</v>
      </c>
      <c r="C84" s="7" t="str">
        <f>'Budzet 2018'!H2264</f>
        <v>Управљање комуналним отпадом</v>
      </c>
      <c r="D84" s="7" t="s">
        <v>609</v>
      </c>
      <c r="E84" s="7" t="s">
        <v>726</v>
      </c>
      <c r="F84" s="4">
        <f>'Budzet 2018'!I2272</f>
        <v>8200000</v>
      </c>
      <c r="G84" s="4">
        <f>'Budzet 2018'!J2272</f>
        <v>0</v>
      </c>
      <c r="H84" s="4">
        <f>'Budzet 2018'!K2272</f>
        <v>8200000</v>
      </c>
    </row>
    <row r="85" spans="1:12" ht="45" x14ac:dyDescent="0.2">
      <c r="A85" s="75" t="s">
        <v>310</v>
      </c>
      <c r="B85" s="75"/>
      <c r="C85" s="76" t="s">
        <v>610</v>
      </c>
      <c r="D85" s="76" t="s">
        <v>611</v>
      </c>
      <c r="E85" s="76" t="s">
        <v>612</v>
      </c>
      <c r="F85" s="77">
        <f>SUM(F86:F147)</f>
        <v>1628005632.53</v>
      </c>
      <c r="G85" s="77">
        <f>SUM(G86:G147)</f>
        <v>0</v>
      </c>
      <c r="H85" s="77">
        <f>SUM(F85:G85)</f>
        <v>1628005632.53</v>
      </c>
      <c r="L85" s="538"/>
    </row>
    <row r="86" spans="1:12" ht="33.75" x14ac:dyDescent="0.2">
      <c r="A86" s="12"/>
      <c r="B86" s="8" t="s">
        <v>311</v>
      </c>
      <c r="C86" s="2" t="str">
        <f>'Budzet 2018'!H1340</f>
        <v>Управљање и одржавање саобраћајне инфраструктуре</v>
      </c>
      <c r="D86" s="2" t="s">
        <v>613</v>
      </c>
      <c r="E86" s="2" t="s">
        <v>614</v>
      </c>
      <c r="F86" s="4">
        <f>'Budzet 2018'!I1345+'Budzet 2018'!I2019+'Budzet 2018'!I2335</f>
        <v>240813391</v>
      </c>
      <c r="G86" s="4">
        <f>'Budzet 2018'!J1345+'Budzet 2018'!J2019+'Budzet 2018'!J2335</f>
        <v>0</v>
      </c>
      <c r="H86" s="4">
        <f>'Budzet 2018'!K1345+'Budzet 2018'!K2019+'Budzet 2018'!K2335</f>
        <v>240813391</v>
      </c>
    </row>
    <row r="87" spans="1:12" ht="22.5" x14ac:dyDescent="0.2">
      <c r="A87" s="8"/>
      <c r="B87" s="8" t="s">
        <v>615</v>
      </c>
      <c r="C87" s="7" t="s">
        <v>616</v>
      </c>
      <c r="D87" s="2" t="s">
        <v>617</v>
      </c>
      <c r="E87" s="2" t="s">
        <v>618</v>
      </c>
      <c r="F87" s="5">
        <f>SUM('Budzet 2018'!I2026)</f>
        <v>142400000</v>
      </c>
      <c r="G87" s="5">
        <f>SUM('Budzet 2018'!J2026)</f>
        <v>0</v>
      </c>
      <c r="H87" s="4">
        <f t="shared" ref="H87" si="7">SUM(F87:G87)</f>
        <v>142400000</v>
      </c>
    </row>
    <row r="88" spans="1:12" ht="22.5" x14ac:dyDescent="0.2">
      <c r="A88" s="8"/>
      <c r="B88" s="8"/>
      <c r="C88" s="19" t="str">
        <f>'Budzet 2018'!H760</f>
        <v>ПРОЈЕКАТ 1 "ВИДЕО НАДЗОР НА РАСКРСНИЦИ"</v>
      </c>
      <c r="D88" s="2"/>
      <c r="E88" s="2"/>
      <c r="F88" s="5">
        <f>'Budzet 2018'!I766</f>
        <v>1689998.2</v>
      </c>
      <c r="G88" s="5">
        <f>'Budzet 2018'!J762</f>
        <v>0</v>
      </c>
      <c r="H88" s="4">
        <f t="shared" ref="H88" si="8">SUM(F88:G88)</f>
        <v>1689998.2</v>
      </c>
    </row>
    <row r="89" spans="1:12" ht="33.75" x14ac:dyDescent="0.2">
      <c r="A89" s="8"/>
      <c r="B89" s="8"/>
      <c r="C89" s="19" t="str">
        <f>'Budzet 2018'!H768</f>
        <v>ПРОЈЕКАТ 2 "ВИДЕО НАДЗОР У ОБРАЗОВНИМ УСТАНОВАМА"</v>
      </c>
      <c r="D89" s="2"/>
      <c r="E89" s="2"/>
      <c r="F89" s="5">
        <f>'Budzet 2018'!I775</f>
        <v>4700000</v>
      </c>
      <c r="G89" s="5">
        <f>'Budzet 2018'!J775</f>
        <v>0</v>
      </c>
      <c r="H89" s="5">
        <f>'Budzet 2018'!K775</f>
        <v>4700000</v>
      </c>
    </row>
    <row r="90" spans="1:12" ht="51.75" customHeight="1" x14ac:dyDescent="0.2">
      <c r="A90" s="8"/>
      <c r="B90" s="8"/>
      <c r="C90" s="532" t="str">
        <f>'Budzet 2018'!H777</f>
        <v>ПРОЈЕКАТ 3 "ВИДЕО НАДЗОР ОД ЈАВНОГ ИНТЕРЕСА ЗА ОПШТИНУ ИНЂИЈА"</v>
      </c>
      <c r="D90" s="2"/>
      <c r="E90" s="2"/>
      <c r="F90" s="5">
        <f>'Budzet 2018'!I780</f>
        <v>8160000</v>
      </c>
      <c r="G90" s="5">
        <f>'Budzet 2018'!J780</f>
        <v>0</v>
      </c>
      <c r="H90" s="5">
        <f>'Budzet 2018'!K780</f>
        <v>8160000</v>
      </c>
    </row>
    <row r="91" spans="1:12" ht="42.75" customHeight="1" x14ac:dyDescent="0.2">
      <c r="A91" s="8"/>
      <c r="B91" s="8"/>
      <c r="C91" s="545" t="s">
        <v>1004</v>
      </c>
      <c r="D91" s="2"/>
      <c r="E91" s="2"/>
      <c r="F91" s="5">
        <f>SUM('Budzet 2018'!I1551)</f>
        <v>77520001</v>
      </c>
      <c r="G91" s="5"/>
      <c r="H91" s="5">
        <f>SUM(F91:G91)</f>
        <v>77520001</v>
      </c>
    </row>
    <row r="92" spans="1:12" ht="48" customHeight="1" x14ac:dyDescent="0.2">
      <c r="A92" s="8"/>
      <c r="B92" s="8"/>
      <c r="C92" s="7" t="str">
        <f>'Budzet 2018'!H1554</f>
        <v>ПРОЈЕКАТ 1.1 Израда пројектне документације и изградња пешачке стазе до Лесног профила</v>
      </c>
      <c r="D92" s="2"/>
      <c r="E92" s="2"/>
      <c r="F92" s="5">
        <f>'Budzet 2018'!I1559</f>
        <v>2000</v>
      </c>
      <c r="G92" s="5">
        <f>'Budzet 2018'!J1559</f>
        <v>0</v>
      </c>
      <c r="H92" s="5">
        <f>'Budzet 2018'!K1559</f>
        <v>2000</v>
      </c>
    </row>
    <row r="93" spans="1:12" ht="70.5" customHeight="1" x14ac:dyDescent="0.2">
      <c r="A93" s="8"/>
      <c r="B93" s="8"/>
      <c r="C93" s="7" t="str">
        <f>'Budzet 2018'!H1561</f>
        <v>ПРОЈЕКАТ 1.2 - Израда пројектне документације и изградња упарених аутобуских стајалишта у Инђији, у улици Цара Душана</v>
      </c>
      <c r="D93" s="2"/>
      <c r="E93" s="2"/>
      <c r="F93" s="5">
        <f>'Budzet 2018'!I1565</f>
        <v>3591606.84</v>
      </c>
      <c r="G93" s="5">
        <f>'Budzet 2018'!J1565</f>
        <v>0</v>
      </c>
      <c r="H93" s="5">
        <f>'Budzet 2018'!K1565</f>
        <v>3591606.84</v>
      </c>
    </row>
    <row r="94" spans="1:12" ht="51" customHeight="1" x14ac:dyDescent="0.2">
      <c r="A94" s="8"/>
      <c r="B94" s="8"/>
      <c r="C94" s="551" t="s">
        <v>952</v>
      </c>
      <c r="D94" s="2"/>
      <c r="E94" s="2"/>
      <c r="F94" s="5">
        <f>SUM('Budzet 2018'!I1568)</f>
        <v>4000000</v>
      </c>
      <c r="G94" s="5"/>
      <c r="H94" s="5">
        <f>SUM(F94:G94)</f>
        <v>4000000</v>
      </c>
    </row>
    <row r="95" spans="1:12" ht="50.25" customHeight="1" x14ac:dyDescent="0.2">
      <c r="A95" s="8"/>
      <c r="B95" s="8"/>
      <c r="C95" s="7" t="str">
        <f>'Budzet 2018'!H1572</f>
        <v>ПРОЈЕКАТ 1.3 -  Изградња бициклистичких и пешачких стаза дуж државног пута IIА-126 у Инђији - "Оутлет"</v>
      </c>
      <c r="D95" s="2"/>
      <c r="E95" s="2"/>
      <c r="F95" s="5">
        <f>'Budzet 2018'!I1576</f>
        <v>2000</v>
      </c>
      <c r="G95" s="5">
        <f>'Budzet 2018'!J1576</f>
        <v>0</v>
      </c>
      <c r="H95" s="5">
        <f>'Budzet 2018'!K1576</f>
        <v>2000</v>
      </c>
    </row>
    <row r="96" spans="1:12" ht="48.75" customHeight="1" x14ac:dyDescent="0.2">
      <c r="A96" s="8"/>
      <c r="B96" s="8"/>
      <c r="C96" s="7" t="str">
        <f>'Budzet 2018'!H1578</f>
        <v>ПРОЈЕКАТ 1.4 -  Извођење радова  државног пута II реда -126 - лево скретање за Гумапласт</v>
      </c>
      <c r="D96" s="2"/>
      <c r="E96" s="2"/>
      <c r="F96" s="5">
        <f>'Budzet 2018'!I1582</f>
        <v>2000</v>
      </c>
      <c r="G96" s="5">
        <f>'Budzet 2018'!J1582</f>
        <v>0</v>
      </c>
      <c r="H96" s="5">
        <f>'Budzet 2018'!K1582</f>
        <v>2000</v>
      </c>
    </row>
    <row r="97" spans="1:8" ht="39" customHeight="1" x14ac:dyDescent="0.2">
      <c r="A97" s="8"/>
      <c r="B97" s="8"/>
      <c r="C97" s="7" t="str">
        <f>'Budzet 2018'!H1584</f>
        <v>ПРОЈЕКАТ 1.5 - Реконструкција пута Л18 Нови Сланкамен - Сурдук</v>
      </c>
      <c r="D97" s="2"/>
      <c r="E97" s="2"/>
      <c r="F97" s="5">
        <f>'Budzet 2018'!I1589</f>
        <v>2000</v>
      </c>
      <c r="G97" s="5">
        <f>'Budzet 2018'!J1589</f>
        <v>0</v>
      </c>
      <c r="H97" s="5">
        <f>'Budzet 2018'!K1589</f>
        <v>2000</v>
      </c>
    </row>
    <row r="98" spans="1:8" ht="45.75" customHeight="1" x14ac:dyDescent="0.2">
      <c r="A98" s="8"/>
      <c r="B98" s="8"/>
      <c r="C98" s="7" t="str">
        <f>'Budzet 2018'!H1591</f>
        <v>ПРОЈЕКАТ 1.6 - Израда Плана техничке регулације саобраћаја за насељена места општине Инђија</v>
      </c>
      <c r="D98" s="2"/>
      <c r="E98" s="2"/>
      <c r="F98" s="5">
        <f>'Budzet 2018'!I1594</f>
        <v>4000000</v>
      </c>
      <c r="G98" s="5">
        <f>'Budzet 2018'!J1594</f>
        <v>0</v>
      </c>
      <c r="H98" s="5">
        <f>'Budzet 2018'!K1594</f>
        <v>4000000</v>
      </c>
    </row>
    <row r="99" spans="1:8" ht="59.25" customHeight="1" x14ac:dyDescent="0.2">
      <c r="A99" s="8"/>
      <c r="B99" s="8"/>
      <c r="C99" s="7" t="str">
        <f>'Budzet 2018'!H1596</f>
        <v>ПРОЈЕКАТ 1.6А - Израда Плана превентивних мера о повременим и привременим градилиштима</v>
      </c>
      <c r="D99" s="2"/>
      <c r="E99" s="2"/>
      <c r="F99" s="5">
        <f>'Budzet 2018'!I1599</f>
        <v>600000</v>
      </c>
      <c r="G99" s="5">
        <f>'Budzet 2018'!J1599</f>
        <v>0</v>
      </c>
      <c r="H99" s="5">
        <f>'Budzet 2018'!K1599</f>
        <v>600000</v>
      </c>
    </row>
    <row r="100" spans="1:8" ht="81" customHeight="1" x14ac:dyDescent="0.2">
      <c r="A100" s="8"/>
      <c r="B100" s="8"/>
      <c r="C100" s="7" t="str">
        <f>'Budzet 2018'!H1601</f>
        <v>ПРОЈЕКАТ 1.7 -Израда пројектне документације упарених аутобуских стајалишта са нишама, у коридору државног пута  у улици Цара Душана у Марадику</v>
      </c>
      <c r="D100" s="2"/>
      <c r="E100" s="2"/>
      <c r="F100" s="5">
        <f>'Budzet 2018'!I1604</f>
        <v>500000</v>
      </c>
      <c r="G100" s="5">
        <f>'Budzet 2018'!J1604</f>
        <v>0</v>
      </c>
      <c r="H100" s="5">
        <f>'Budzet 2018'!K1604</f>
        <v>500000</v>
      </c>
    </row>
    <row r="101" spans="1:8" ht="46.5" customHeight="1" x14ac:dyDescent="0.2">
      <c r="A101" s="8"/>
      <c r="B101" s="8"/>
      <c r="C101" s="7" t="str">
        <f>'Budzet 2018'!H1606</f>
        <v>ПРОЈЕКАТ 1.8 -Израда пројектне документације за изградњу кружног тока у центру Бешке</v>
      </c>
      <c r="D101" s="2"/>
      <c r="E101" s="2"/>
      <c r="F101" s="5">
        <f>'Budzet 2018'!I1609</f>
        <v>1000</v>
      </c>
      <c r="G101" s="5">
        <f>'Budzet 2018'!J1609</f>
        <v>0</v>
      </c>
      <c r="H101" s="5">
        <f>'Budzet 2018'!K1609</f>
        <v>1000</v>
      </c>
    </row>
    <row r="102" spans="1:8" ht="86.25" customHeight="1" x14ac:dyDescent="0.2">
      <c r="A102" s="8"/>
      <c r="B102" s="8"/>
      <c r="C102" s="552" t="str">
        <f>'Budzet 2018'!H1611</f>
        <v>ПРОЈЕКАТ 1.8.1-Израда пројектне документације за изградњу кружног тока у Новом Сланкамену - раскрсница улица Цара Душана, Фрушкогорска и Дунавска</v>
      </c>
      <c r="D102" s="2"/>
      <c r="E102" s="2"/>
      <c r="F102" s="5">
        <f>'Budzet 2018'!I1614</f>
        <v>1000</v>
      </c>
      <c r="G102" s="5">
        <f>'Budzet 2018'!J1614</f>
        <v>0</v>
      </c>
      <c r="H102" s="5">
        <f>'Budzet 2018'!K1614</f>
        <v>1000</v>
      </c>
    </row>
    <row r="103" spans="1:8" ht="48.75" customHeight="1" x14ac:dyDescent="0.2">
      <c r="A103" s="8"/>
      <c r="B103" s="8"/>
      <c r="C103" s="547" t="s">
        <v>1015</v>
      </c>
      <c r="D103" s="2"/>
      <c r="E103" s="2"/>
      <c r="F103" s="5">
        <f>SUM('Budzet 2018'!I1621)</f>
        <v>48960000</v>
      </c>
      <c r="G103" s="5"/>
      <c r="H103" s="5">
        <f>SUM(F103:G103)</f>
        <v>48960000</v>
      </c>
    </row>
    <row r="104" spans="1:8" ht="52.5" customHeight="1" x14ac:dyDescent="0.2">
      <c r="A104" s="8"/>
      <c r="B104" s="8"/>
      <c r="C104" s="7" t="str">
        <f>'Budzet 2018'!H1623</f>
        <v>ПРОЈЕКАТ 1.9 -Израда техничке документације саобраћајница у индустријјској зони Бешка</v>
      </c>
      <c r="D104" s="2"/>
      <c r="E104" s="2"/>
      <c r="F104" s="5">
        <f>'Budzet 2018'!I1626</f>
        <v>360000</v>
      </c>
      <c r="G104" s="5">
        <f>'Budzet 2018'!J1626</f>
        <v>0</v>
      </c>
      <c r="H104" s="5">
        <f>'Budzet 2018'!K1626</f>
        <v>360000</v>
      </c>
    </row>
    <row r="105" spans="1:8" ht="47.25" customHeight="1" x14ac:dyDescent="0.2">
      <c r="A105" s="8"/>
      <c r="B105" s="8"/>
      <c r="C105" s="7" t="str">
        <f>'Budzet 2018'!H1628</f>
        <v>ПРОЈЕКАТ 1.10 - Израда пројектне документације и уређење ужег дела центра насеља  Крчедин</v>
      </c>
      <c r="D105" s="2"/>
      <c r="E105" s="2"/>
      <c r="F105" s="5">
        <f>'Budzet 2018'!I1631</f>
        <v>6960000</v>
      </c>
      <c r="G105" s="5">
        <f>'Budzet 2018'!J1631</f>
        <v>0</v>
      </c>
      <c r="H105" s="5">
        <f>'Budzet 2018'!K1631</f>
        <v>6960000</v>
      </c>
    </row>
    <row r="106" spans="1:8" ht="59.25" customHeight="1" x14ac:dyDescent="0.2">
      <c r="A106" s="8"/>
      <c r="B106" s="8"/>
      <c r="C106" s="7" t="str">
        <f>'Budzet 2018'!H1633</f>
        <v>ПРОЈЕКАТ 1.11 - Израда пројектне документације, изградња и реконструкција тротоара у насељу  Нови Карловци</v>
      </c>
      <c r="D106" s="2"/>
      <c r="E106" s="2"/>
      <c r="F106" s="5">
        <f>'Budzet 2018'!I1637</f>
        <v>20340001</v>
      </c>
      <c r="G106" s="5">
        <f>'Budzet 2018'!J1637</f>
        <v>0</v>
      </c>
      <c r="H106" s="5">
        <f>'Budzet 2018'!K1637</f>
        <v>20340001</v>
      </c>
    </row>
    <row r="107" spans="1:8" ht="75.75" customHeight="1" x14ac:dyDescent="0.2">
      <c r="A107" s="8"/>
      <c r="B107" s="8"/>
      <c r="C107" s="551" t="s">
        <v>966</v>
      </c>
      <c r="D107" s="2"/>
      <c r="E107" s="2"/>
      <c r="F107" s="5">
        <f>SUM('Budzet 2018'!I1640)</f>
        <v>1000</v>
      </c>
      <c r="G107" s="5"/>
      <c r="H107" s="5">
        <f>SUM(F107:G107)</f>
        <v>1000</v>
      </c>
    </row>
    <row r="108" spans="1:8" ht="63" customHeight="1" x14ac:dyDescent="0.2">
      <c r="A108" s="8"/>
      <c r="B108" s="8"/>
      <c r="C108" s="551" t="s">
        <v>999</v>
      </c>
      <c r="D108" s="2"/>
      <c r="E108" s="2"/>
      <c r="F108" s="5">
        <f>SUM('Budzet 2018'!I1648)</f>
        <v>15300000</v>
      </c>
      <c r="G108" s="5"/>
      <c r="H108" s="5">
        <f>SUM(F108:G108)</f>
        <v>15300000</v>
      </c>
    </row>
    <row r="109" spans="1:8" ht="33.75" customHeight="1" x14ac:dyDescent="0.2">
      <c r="A109" s="8"/>
      <c r="B109" s="8"/>
      <c r="C109" s="7" t="str">
        <f>'Budzet 2018'!H1650</f>
        <v>ПРОЈЕКАТ 1.12 - Израда пројектно техничке документације за реконструкцију слободног профила улице Цара Душана у постојећој регулацији у насељу Нови Сланкамен на деоници раскрснице са улицом Вука  Караџића до раскрснице са улицом Светосавском и извођење радова</v>
      </c>
      <c r="D109" s="2"/>
      <c r="E109" s="2"/>
      <c r="F109" s="5">
        <f>'Budzet 2018'!I1654</f>
        <v>25540001</v>
      </c>
      <c r="G109" s="5">
        <f>'Budzet 2018'!J1654</f>
        <v>0</v>
      </c>
      <c r="H109" s="5">
        <f>'Budzet 2018'!K1654</f>
        <v>25540001</v>
      </c>
    </row>
    <row r="110" spans="1:8" ht="65.25" customHeight="1" x14ac:dyDescent="0.2">
      <c r="A110" s="8"/>
      <c r="B110" s="8"/>
      <c r="C110" s="551" t="s">
        <v>998</v>
      </c>
      <c r="D110" s="2"/>
      <c r="E110" s="2"/>
      <c r="F110" s="5">
        <f>SUM('Budzet 2018'!I1660)</f>
        <v>2210001</v>
      </c>
      <c r="G110" s="5"/>
      <c r="H110" s="5">
        <f>SUM(F110:G110)</f>
        <v>2210001</v>
      </c>
    </row>
    <row r="111" spans="1:8" ht="57" customHeight="1" x14ac:dyDescent="0.2">
      <c r="A111" s="8"/>
      <c r="B111" s="8"/>
      <c r="C111" s="7" t="str">
        <f>'Budzet 2018'!H1662</f>
        <v>ПРОЈЕКАТ 1.13 - Израда пројектне документације и реконструкција крова и фасаде на објекту МЗ Нови Сланкамен</v>
      </c>
      <c r="D111" s="2"/>
      <c r="E111" s="2"/>
      <c r="F111" s="5">
        <f>'Budzet 2018'!I1665</f>
        <v>1000</v>
      </c>
      <c r="G111" s="5">
        <f>'Budzet 2018'!J1665</f>
        <v>0</v>
      </c>
      <c r="H111" s="5">
        <f>'Budzet 2018'!K1665</f>
        <v>1000</v>
      </c>
    </row>
    <row r="112" spans="1:8" ht="55.5" customHeight="1" x14ac:dyDescent="0.2">
      <c r="A112" s="8"/>
      <c r="B112" s="8"/>
      <c r="C112" s="7" t="str">
        <f>'Budzet 2018'!H1667</f>
        <v>ПРОЈЕКАТ 1.14 - Израда пројектне документације и изградња аутобуских стајалишта у улици Цара Душана у Крчедину</v>
      </c>
      <c r="D112" s="2"/>
      <c r="E112" s="2"/>
      <c r="F112" s="5">
        <f>'Budzet 2018'!I1671</f>
        <v>3480000</v>
      </c>
      <c r="G112" s="5">
        <f>'Budzet 2018'!J1671</f>
        <v>0</v>
      </c>
      <c r="H112" s="5">
        <f>'Budzet 2018'!K1671</f>
        <v>3480000</v>
      </c>
    </row>
    <row r="113" spans="1:8" ht="59.25" customHeight="1" x14ac:dyDescent="0.2">
      <c r="A113" s="8"/>
      <c r="B113" s="8"/>
      <c r="C113" s="22" t="str">
        <f>'Budzet 2018'!H1673</f>
        <v>ПРОЈЕКАТ 1.15 - Израда пројектне документације проширења коловоза у улици Соње Маринковић у Инђији</v>
      </c>
      <c r="D113" s="2"/>
      <c r="E113" s="2"/>
      <c r="F113" s="5">
        <f>'Budzet 2018'!I1676</f>
        <v>600000</v>
      </c>
      <c r="G113" s="5">
        <f>'Budzet 2018'!J1676</f>
        <v>0</v>
      </c>
      <c r="H113" s="5">
        <f>'Budzet 2018'!K1676</f>
        <v>600000</v>
      </c>
    </row>
    <row r="114" spans="1:8" ht="56.25" x14ac:dyDescent="0.2">
      <c r="A114" s="8"/>
      <c r="B114" s="8"/>
      <c r="C114" s="7" t="str">
        <f>'Budzet 2018'!H1678</f>
        <v>ПРОЈЕКАТ 1.16 - Израда пројектне документације проширења коловоза у улици Фрушкогорска у Новом Сланкамену</v>
      </c>
      <c r="D114" s="2"/>
      <c r="E114" s="2"/>
      <c r="F114" s="5">
        <f>'Budzet 2018'!I1681</f>
        <v>1000</v>
      </c>
      <c r="G114" s="5">
        <f>'Budzet 2018'!J1681</f>
        <v>0</v>
      </c>
      <c r="H114" s="5">
        <f>'Budzet 2018'!K1681</f>
        <v>1000</v>
      </c>
    </row>
    <row r="115" spans="1:8" ht="50.25" customHeight="1" x14ac:dyDescent="0.2">
      <c r="A115" s="8"/>
      <c r="B115" s="8"/>
      <c r="C115" s="7" t="str">
        <f>'Budzet 2018'!H1683</f>
        <v>ПРОЈЕКАТ 1.17 - Израда пројектне документације марине у Старом Сланкамену</v>
      </c>
      <c r="D115" s="2"/>
      <c r="E115" s="2"/>
      <c r="F115" s="5">
        <f>'Budzet 2018'!I1686</f>
        <v>1000</v>
      </c>
      <c r="G115" s="5">
        <f>'Budzet 2018'!J1686</f>
        <v>0</v>
      </c>
      <c r="H115" s="5">
        <f>'Budzet 2018'!K1686</f>
        <v>1000</v>
      </c>
    </row>
    <row r="116" spans="1:8" ht="72.75" customHeight="1" x14ac:dyDescent="0.2">
      <c r="A116" s="8"/>
      <c r="B116" s="8"/>
      <c r="C116" s="7" t="str">
        <f>'Budzet 2018'!H1688</f>
        <v>ПРОЈЕКАТ 1.18 - Израда пројектне документације за изградњу пешачких семафора на државном путу II А  - 100 кроз насељено место Инђија</v>
      </c>
      <c r="D116" s="2"/>
      <c r="E116" s="2"/>
      <c r="F116" s="5">
        <f>'Budzet 2018'!I1691</f>
        <v>500000</v>
      </c>
      <c r="G116" s="5">
        <f>'Budzet 2018'!J1691</f>
        <v>0</v>
      </c>
      <c r="H116" s="5">
        <f>'Budzet 2018'!K1691</f>
        <v>500000</v>
      </c>
    </row>
    <row r="117" spans="1:8" ht="51.75" customHeight="1" x14ac:dyDescent="0.2">
      <c r="A117" s="8"/>
      <c r="B117" s="8"/>
      <c r="C117" s="7" t="str">
        <f>'Budzet 2018'!H1693</f>
        <v>ПРОЈЕКАТ 1.19- Израда пројеката техничке  регулације саобраћаја за време извођења радова</v>
      </c>
      <c r="D117" s="2"/>
      <c r="E117" s="2"/>
      <c r="F117" s="5">
        <f>'Budzet 2018'!I1696</f>
        <v>500000</v>
      </c>
      <c r="G117" s="5">
        <f>'Budzet 2018'!J1696</f>
        <v>0</v>
      </c>
      <c r="H117" s="5">
        <f>'Budzet 2018'!K1696</f>
        <v>500000</v>
      </c>
    </row>
    <row r="118" spans="1:8" ht="81.75" customHeight="1" x14ac:dyDescent="0.2">
      <c r="A118" s="8"/>
      <c r="B118" s="8"/>
      <c r="C118" s="7" t="str">
        <f>'Budzet 2018'!H1698</f>
        <v>ПРОЈЕКАТ 1.20 - Израда пројекатне документације за изградњу пешачко бициклистичке стазе од Инђије до Јарковаца дуж пута Л-22 са јавном расветом</v>
      </c>
      <c r="D118" s="2"/>
      <c r="E118" s="2"/>
      <c r="F118" s="5">
        <f>'Budzet 2018'!I1701</f>
        <v>1000</v>
      </c>
      <c r="G118" s="5">
        <f>'Budzet 2018'!J1701</f>
        <v>0</v>
      </c>
      <c r="H118" s="5">
        <f>'Budzet 2018'!K1701</f>
        <v>1000</v>
      </c>
    </row>
    <row r="119" spans="1:8" ht="48" customHeight="1" x14ac:dyDescent="0.2">
      <c r="A119" s="8"/>
      <c r="B119" s="8"/>
      <c r="C119" s="7" t="str">
        <f>'Budzet 2018'!H1703</f>
        <v>ПРОЈЕКАТ 1.21 - Израда пројектне документације и изградња паркинга у центру Марадика</v>
      </c>
      <c r="D119" s="2"/>
      <c r="E119" s="2"/>
      <c r="F119" s="5">
        <f>'Budzet 2018'!I1707</f>
        <v>1487625</v>
      </c>
      <c r="G119" s="5">
        <f>'Budzet 2018'!J1707</f>
        <v>0</v>
      </c>
      <c r="H119" s="5">
        <f>'Budzet 2018'!K1707</f>
        <v>1487625</v>
      </c>
    </row>
    <row r="120" spans="1:8" ht="36" customHeight="1" x14ac:dyDescent="0.2">
      <c r="A120" s="8"/>
      <c r="B120" s="8"/>
      <c r="C120" s="7" t="str">
        <f>'Budzet 2018'!H1709</f>
        <v>ПРОЈЕКАТ 1.22 - Набавка опреме за посебна паркиралишта</v>
      </c>
      <c r="D120" s="2"/>
      <c r="E120" s="2"/>
      <c r="F120" s="5">
        <f>'Budzet 2018'!I1712</f>
        <v>500000</v>
      </c>
      <c r="G120" s="5">
        <f>'Budzet 2018'!J1712</f>
        <v>0</v>
      </c>
      <c r="H120" s="5">
        <f>'Budzet 2018'!K1712</f>
        <v>500000</v>
      </c>
    </row>
    <row r="121" spans="1:8" ht="71.25" customHeight="1" x14ac:dyDescent="0.2">
      <c r="A121" s="8"/>
      <c r="B121" s="8"/>
      <c r="C121" s="7" t="str">
        <f>'Budzet 2018'!H1714</f>
        <v>ПРОЈЕКАТ 1.23 - Стручни надзор над изградњом сервисне саобраћајнице у североисточној радној зони деоница од "Монуса" до "Гумапласта"</v>
      </c>
      <c r="D121" s="2"/>
      <c r="E121" s="2"/>
      <c r="F121" s="5">
        <f>'Budzet 2018'!I1717</f>
        <v>1000</v>
      </c>
      <c r="G121" s="5">
        <f>'Budzet 2018'!J1717</f>
        <v>0</v>
      </c>
      <c r="H121" s="5">
        <f>'Budzet 2018'!K1717</f>
        <v>1000</v>
      </c>
    </row>
    <row r="122" spans="1:8" ht="58.5" customHeight="1" x14ac:dyDescent="0.2">
      <c r="A122" s="8"/>
      <c r="B122" s="8"/>
      <c r="C122" s="7" t="str">
        <f>'Budzet 2018'!H1719</f>
        <v>ПРОЈЕКАТ 1.24 - Израда пројектне документације и изградња пешачке стазе у целој дужини у улици Н. Тесле у Љукову</v>
      </c>
      <c r="D122" s="2"/>
      <c r="E122" s="2"/>
      <c r="F122" s="5">
        <f>'Budzet 2018'!I1723</f>
        <v>7603001</v>
      </c>
      <c r="G122" s="5">
        <f>'Budzet 2018'!J1723</f>
        <v>0</v>
      </c>
      <c r="H122" s="5">
        <f>'Budzet 2018'!K1723</f>
        <v>7603001</v>
      </c>
    </row>
    <row r="123" spans="1:8" ht="60.75" customHeight="1" x14ac:dyDescent="0.2">
      <c r="A123" s="8"/>
      <c r="B123" s="8"/>
      <c r="C123" s="547" t="s">
        <v>983</v>
      </c>
      <c r="D123" s="2"/>
      <c r="E123" s="2"/>
      <c r="F123" s="5">
        <f>SUM('Budzet 2018'!I1729)</f>
        <v>2000</v>
      </c>
      <c r="G123" s="5"/>
      <c r="H123" s="5">
        <f>SUM(F123:G123)</f>
        <v>2000</v>
      </c>
    </row>
    <row r="124" spans="1:8" ht="48.75" customHeight="1" x14ac:dyDescent="0.2">
      <c r="A124" s="8"/>
      <c r="B124" s="8"/>
      <c r="C124" s="547" t="s">
        <v>995</v>
      </c>
      <c r="D124" s="2"/>
      <c r="E124" s="2"/>
      <c r="F124" s="5">
        <f>SUM('Budzet 2018'!I1736)</f>
        <v>48960001</v>
      </c>
      <c r="G124" s="5"/>
      <c r="H124" s="5">
        <f>SUM(F124:G124)</f>
        <v>48960001</v>
      </c>
    </row>
    <row r="125" spans="1:8" ht="39" customHeight="1" x14ac:dyDescent="0.2">
      <c r="A125" s="8"/>
      <c r="B125" s="8"/>
      <c r="C125" s="7" t="str">
        <f>'Budzet 2018'!H1738</f>
        <v>ПРОЈЕКАТ 1.25 - Реконструкција крова ФК Љуково</v>
      </c>
      <c r="D125" s="2"/>
      <c r="E125" s="2"/>
      <c r="F125" s="5">
        <f>'Budzet 2018'!I1741</f>
        <v>1</v>
      </c>
      <c r="G125" s="5">
        <f>'Budzet 2018'!J1741</f>
        <v>0</v>
      </c>
      <c r="H125" s="5">
        <f>'Budzet 2018'!K1741</f>
        <v>1</v>
      </c>
    </row>
    <row r="126" spans="1:8" ht="51.75" customHeight="1" x14ac:dyDescent="0.2">
      <c r="A126" s="8"/>
      <c r="B126" s="8"/>
      <c r="C126" s="7" t="str">
        <f>'Budzet 2018'!H1743</f>
        <v>ПРОЈЕКАТ 1.26 - Израда пројектне документације за изградњу паркинга у улици Краља Петра</v>
      </c>
      <c r="D126" s="2"/>
      <c r="E126" s="2"/>
      <c r="F126" s="5">
        <f>'Budzet 2018'!I1746</f>
        <v>500000</v>
      </c>
      <c r="G126" s="5">
        <f>'Budzet 2018'!J1746</f>
        <v>0</v>
      </c>
      <c r="H126" s="5">
        <f>'Budzet 2018'!K1746</f>
        <v>500000</v>
      </c>
    </row>
    <row r="127" spans="1:8" ht="37.5" customHeight="1" x14ac:dyDescent="0.2">
      <c r="A127" s="8"/>
      <c r="B127" s="8"/>
      <c r="C127" s="7" t="str">
        <f>'Budzet 2018'!H1748</f>
        <v>ПРОЈЕКАТ 1.27 - Изградња паркинга у улици Краља Петра</v>
      </c>
      <c r="D127" s="2"/>
      <c r="E127" s="2"/>
      <c r="F127" s="5">
        <f>'Budzet 2018'!I1752</f>
        <v>2000</v>
      </c>
      <c r="G127" s="5">
        <f>'Budzet 2018'!J1752</f>
        <v>0</v>
      </c>
      <c r="H127" s="5">
        <f>'Budzet 2018'!K1752</f>
        <v>2000</v>
      </c>
    </row>
    <row r="128" spans="1:8" ht="50.25" customHeight="1" x14ac:dyDescent="0.2">
      <c r="A128" s="8"/>
      <c r="B128" s="8"/>
      <c r="C128" s="7" t="str">
        <f>'Budzet 2018'!H1754</f>
        <v>ПРОЈЕКАТ 1.28 - Израда пројектне документације за изградњу паркинга у Блоку 44 у Инђији - Ламела</v>
      </c>
      <c r="D128" s="2"/>
      <c r="E128" s="2"/>
      <c r="F128" s="5">
        <f>'Budzet 2018'!I1757</f>
        <v>1000</v>
      </c>
      <c r="G128" s="5">
        <f>'Budzet 2018'!J1757</f>
        <v>0</v>
      </c>
      <c r="H128" s="5">
        <f>'Budzet 2018'!K1757</f>
        <v>1000</v>
      </c>
    </row>
    <row r="129" spans="1:8" ht="33.75" x14ac:dyDescent="0.2">
      <c r="A129" s="8"/>
      <c r="B129" s="8"/>
      <c r="C129" s="7" t="str">
        <f>'Budzet 2018'!H1759</f>
        <v>ПРОЈЕКАТ 1.29 - Изградња паркинга у Блоку 44 у Инђији - Ламела</v>
      </c>
      <c r="D129" s="2"/>
      <c r="E129" s="2"/>
      <c r="F129" s="5">
        <f>'Budzet 2018'!I1763</f>
        <v>2000</v>
      </c>
      <c r="G129" s="5">
        <f>'Budzet 2018'!J1763</f>
        <v>0</v>
      </c>
      <c r="H129" s="5">
        <f>'Budzet 2018'!K1763</f>
        <v>2000</v>
      </c>
    </row>
    <row r="130" spans="1:8" ht="45" x14ac:dyDescent="0.2">
      <c r="A130" s="8"/>
      <c r="B130" s="8"/>
      <c r="C130" s="547" t="s">
        <v>958</v>
      </c>
      <c r="D130" s="2"/>
      <c r="E130" s="2"/>
      <c r="F130" s="5">
        <f>SUM('Budzet 2018'!I1769)</f>
        <v>600001</v>
      </c>
      <c r="G130" s="5"/>
      <c r="H130" s="5">
        <f>SUM(F130:G130)</f>
        <v>600001</v>
      </c>
    </row>
    <row r="131" spans="1:8" ht="34.5" customHeight="1" x14ac:dyDescent="0.2">
      <c r="A131" s="8"/>
      <c r="B131" s="8"/>
      <c r="C131" s="7" t="str">
        <f>'Budzet 2018'!H1771</f>
        <v>ПРОЈЕКАТ 1.30 - Изградња саобраћајнице у Улици Нова 3 -  Блок 44 у Инђији</v>
      </c>
      <c r="D131" s="2"/>
      <c r="E131" s="2"/>
      <c r="F131" s="5">
        <f>'Budzet 2018'!I1775</f>
        <v>1080001</v>
      </c>
      <c r="G131" s="5">
        <f>'Budzet 2018'!J1775</f>
        <v>0</v>
      </c>
      <c r="H131" s="5">
        <f>'Budzet 2018'!K1775</f>
        <v>1080001</v>
      </c>
    </row>
    <row r="132" spans="1:8" ht="60" customHeight="1" x14ac:dyDescent="0.2">
      <c r="A132" s="8"/>
      <c r="B132" s="8"/>
      <c r="C132" s="7" t="str">
        <f>'Budzet 2018'!H1777</f>
        <v>ПРОЈЕКАТ 1.31 - Изградња саобраћајног прикључка  Улице Нове 3 на државни пут другог реда бр. 100 у Инђији</v>
      </c>
      <c r="D132" s="2"/>
      <c r="E132" s="2"/>
      <c r="F132" s="5">
        <f>'Budzet 2018'!I1781</f>
        <v>804001</v>
      </c>
      <c r="G132" s="5">
        <f>'Budzet 2018'!J1781</f>
        <v>0</v>
      </c>
      <c r="H132" s="5">
        <f>'Budzet 2018'!K1781</f>
        <v>804001</v>
      </c>
    </row>
    <row r="133" spans="1:8" ht="78.75" customHeight="1" x14ac:dyDescent="0.2">
      <c r="A133" s="8"/>
      <c r="B133" s="8"/>
      <c r="C133" s="7" t="str">
        <f>'Budzet 2018'!H1783</f>
        <v>ПРОЈЕКАТ 1.32 - Појачано одржавање коловоза ДП другог реда рег. пут број Р-109 од км 10+662,15 до км 10+861,64 са кружном раскрсницом у Инђији (Обилићев венац)</v>
      </c>
      <c r="D133" s="2"/>
      <c r="E133" s="2"/>
      <c r="F133" s="5">
        <f>'Budzet 2018'!I1788</f>
        <v>2000</v>
      </c>
      <c r="G133" s="5">
        <f>'Budzet 2018'!J1788</f>
        <v>0</v>
      </c>
      <c r="H133" s="5">
        <f>'Budzet 2018'!K1788</f>
        <v>2000</v>
      </c>
    </row>
    <row r="134" spans="1:8" ht="60" customHeight="1" x14ac:dyDescent="0.2">
      <c r="A134" s="8"/>
      <c r="B134" s="8"/>
      <c r="C134" s="7" t="str">
        <f>'Budzet 2018'!H1790</f>
        <v>ПРОЈЕКАТ 1.33 Израда пројектне документације и изградња пешачке стазе од градског базена до "Бразде" у Инђији</v>
      </c>
      <c r="D134" s="2"/>
      <c r="E134" s="2"/>
      <c r="F134" s="5">
        <f>'Budzet 2018'!I1794</f>
        <v>6620001</v>
      </c>
      <c r="G134" s="5">
        <f>'Budzet 2018'!J1794</f>
        <v>0</v>
      </c>
      <c r="H134" s="5">
        <f>'Budzet 2018'!K1794</f>
        <v>6620001</v>
      </c>
    </row>
    <row r="135" spans="1:8" ht="70.5" customHeight="1" x14ac:dyDescent="0.2">
      <c r="A135" s="8"/>
      <c r="B135" s="8"/>
      <c r="C135" s="7" t="str">
        <f>'Budzet 2018'!H1796</f>
        <v>ПРОЈЕКАТ 1.33А - Санација, поправка и извођење радова на пешачким стазама - тротоарима по насељеним местима општине Инђија</v>
      </c>
      <c r="D135" s="2"/>
      <c r="E135" s="2"/>
      <c r="F135" s="5">
        <f>'Budzet 2018'!I1799</f>
        <v>15300001</v>
      </c>
      <c r="G135" s="5">
        <f>'Budzet 2018'!J1799</f>
        <v>0</v>
      </c>
      <c r="H135" s="5">
        <f>'Budzet 2018'!K1799</f>
        <v>15300001</v>
      </c>
    </row>
    <row r="136" spans="1:8" ht="45" x14ac:dyDescent="0.2">
      <c r="A136" s="8"/>
      <c r="B136" s="8"/>
      <c r="C136" s="7" t="str">
        <f>'Budzet 2018'!H1802</f>
        <v>ПРОЈЕКАТ 1.34 - Асфалтирање улица по насељеним местима општине Инђија</v>
      </c>
      <c r="D136" s="2"/>
      <c r="E136" s="2"/>
      <c r="F136" s="5">
        <f>'Budzet 2018'!I1807</f>
        <v>473800302.10000002</v>
      </c>
      <c r="G136" s="5">
        <f>'Budzet 2018'!J1807</f>
        <v>0</v>
      </c>
      <c r="H136" s="5">
        <f>'Budzet 2018'!K1807</f>
        <v>473800302.10000002</v>
      </c>
    </row>
    <row r="137" spans="1:8" ht="56.25" x14ac:dyDescent="0.2">
      <c r="A137" s="8"/>
      <c r="B137" s="8"/>
      <c r="C137" s="551" t="s">
        <v>973</v>
      </c>
      <c r="D137" s="2"/>
      <c r="E137" s="2"/>
      <c r="F137" s="5">
        <f>SUM('Budzet 2018'!I1814)</f>
        <v>26856777.760000002</v>
      </c>
      <c r="G137" s="5"/>
      <c r="H137" s="5">
        <f>SUM(F137:G137)</f>
        <v>26856777.760000002</v>
      </c>
    </row>
    <row r="138" spans="1:8" ht="56.25" customHeight="1" x14ac:dyDescent="0.2">
      <c r="A138" s="8"/>
      <c r="B138" s="8"/>
      <c r="C138" s="551" t="str">
        <f>'Budzet 2018'!H1816</f>
        <v>ПРОЈЕКАТ 1.34А1 - Појачано одржавање (рехабилитација) саобраћајнице Крчедин - Сасе</v>
      </c>
      <c r="D138" s="2"/>
      <c r="E138" s="2"/>
      <c r="F138" s="5">
        <f>'Budzet 2018'!I1821</f>
        <v>2000</v>
      </c>
      <c r="G138" s="5">
        <f>'Budzet 2018'!J1821</f>
        <v>0</v>
      </c>
      <c r="H138" s="5">
        <f>'Budzet 2018'!K1821</f>
        <v>2000</v>
      </c>
    </row>
    <row r="139" spans="1:8" ht="46.5" customHeight="1" x14ac:dyDescent="0.2">
      <c r="A139" s="8"/>
      <c r="B139" s="8"/>
      <c r="C139" s="551" t="s">
        <v>986</v>
      </c>
      <c r="D139" s="2"/>
      <c r="E139" s="2"/>
      <c r="F139" s="5">
        <f>SUM('Budzet 2018'!I1826)</f>
        <v>6000000</v>
      </c>
      <c r="G139" s="5"/>
      <c r="H139" s="5">
        <f>SUM(F139:G139)</f>
        <v>6000000</v>
      </c>
    </row>
    <row r="140" spans="1:8" ht="22.5" x14ac:dyDescent="0.2">
      <c r="A140" s="8"/>
      <c r="B140" s="8"/>
      <c r="C140" s="7" t="str">
        <f>'Budzet 2018'!H1828</f>
        <v>ПРОЈЕКАТ 1.35 - Набавка вибро плоча са алатом</v>
      </c>
      <c r="D140" s="2"/>
      <c r="E140" s="2"/>
      <c r="F140" s="5">
        <f>'Budzet 2018'!I1831</f>
        <v>500000</v>
      </c>
      <c r="G140" s="5">
        <f>'Budzet 2018'!J1831</f>
        <v>0</v>
      </c>
      <c r="H140" s="5">
        <f>'Budzet 2018'!K1831</f>
        <v>500000</v>
      </c>
    </row>
    <row r="141" spans="1:8" ht="45" x14ac:dyDescent="0.2">
      <c r="A141" s="8"/>
      <c r="B141" s="8"/>
      <c r="C141" s="7" t="str">
        <f>'Budzet 2018'!H1833</f>
        <v>ПРОЈЕКАТ 1.36 - Реконструкција пута на деоници Банстол - Хотел Норцев</v>
      </c>
      <c r="D141" s="2"/>
      <c r="E141" s="2"/>
      <c r="F141" s="5">
        <f>'Budzet 2018'!I1838</f>
        <v>310615936</v>
      </c>
      <c r="G141" s="5">
        <f>'Budzet 2018'!J1838</f>
        <v>0</v>
      </c>
      <c r="H141" s="5">
        <f>'Budzet 2018'!K1838</f>
        <v>310615936</v>
      </c>
    </row>
    <row r="142" spans="1:8" ht="51" customHeight="1" x14ac:dyDescent="0.2">
      <c r="A142" s="8"/>
      <c r="B142" s="8"/>
      <c r="C142" s="7" t="str">
        <f>'Budzet 2018'!H1840</f>
        <v xml:space="preserve">ПРОЈЕКАТ 1.37 - Изградња саобраћајнице С2 и фекалне канализације дуж саобраћајнице С3 </v>
      </c>
      <c r="D142" s="2"/>
      <c r="E142" s="2"/>
      <c r="F142" s="5">
        <f>'Budzet 2018'!I1844</f>
        <v>72138118.730000004</v>
      </c>
      <c r="G142" s="5">
        <f>'Budzet 2018'!J1844</f>
        <v>0</v>
      </c>
      <c r="H142" s="5">
        <f>'Budzet 2018'!K1844</f>
        <v>72138118.730000004</v>
      </c>
    </row>
    <row r="143" spans="1:8" ht="61.5" customHeight="1" x14ac:dyDescent="0.2">
      <c r="A143" s="8"/>
      <c r="B143" s="8"/>
      <c r="C143" s="7" t="str">
        <f>'Budzet 2018'!H1846</f>
        <v>ПРОЈЕКАТ 1.38 Стручни надзор над изградњом саобраћајнице С2  и фекалне канализације дуж саобраћајнице С3</v>
      </c>
      <c r="D143" s="2"/>
      <c r="E143" s="2"/>
      <c r="F143" s="5">
        <f>'Budzet 2018'!I1849</f>
        <v>2000000</v>
      </c>
      <c r="G143" s="5">
        <f>'Budzet 2018'!J1849</f>
        <v>0</v>
      </c>
      <c r="H143" s="5">
        <f>'Budzet 2018'!K1849</f>
        <v>2000000</v>
      </c>
    </row>
    <row r="144" spans="1:8" ht="79.5" customHeight="1" x14ac:dyDescent="0.2">
      <c r="A144" s="8"/>
      <c r="B144" s="8"/>
      <c r="C144" s="7" t="str">
        <f>'Budzet 2018'!H1851</f>
        <v>ПРОЈЕКАТ 1.39 - Изградња саобраћајнице С1 и С2 (II фаза) у радној зони бр. 15 у Инђији са хидротехничком инфраструктуром - Пројекат водоводне мреже  (II фаза - С2)</v>
      </c>
      <c r="D144" s="2"/>
      <c r="E144" s="2"/>
      <c r="F144" s="5">
        <f>'Budzet 2018'!I1857</f>
        <v>20703864.899999999</v>
      </c>
      <c r="G144" s="5">
        <f>'Budzet 2018'!J1857</f>
        <v>0</v>
      </c>
      <c r="H144" s="5">
        <f>'Budzet 2018'!K1857</f>
        <v>20703864.899999999</v>
      </c>
    </row>
    <row r="145" spans="1:12" ht="114" customHeight="1" x14ac:dyDescent="0.2">
      <c r="A145" s="8"/>
      <c r="B145" s="8"/>
      <c r="C145" s="7" t="str">
        <f>'Budzet 2018'!H1859</f>
        <v>ПРОЈЕКАТ 1.40 - Изградња ВН кабла у радној зони  Локација 15 у коридору саобраћајнице С3 у дужини од 1300 м  (до раскрснице   С2 и С3   ) у Инђији са хидротехничком инфраструктуром - Пројекат водоводне мреже  (II фаза - С2)</v>
      </c>
      <c r="D145" s="2"/>
      <c r="E145" s="2"/>
      <c r="F145" s="5">
        <f>'Budzet 2018'!I1863</f>
        <v>4284000</v>
      </c>
      <c r="G145" s="5">
        <f>'Budzet 2018'!J1863</f>
        <v>0</v>
      </c>
      <c r="H145" s="5">
        <f>'Budzet 2018'!K1863</f>
        <v>4284000</v>
      </c>
    </row>
    <row r="146" spans="1:12" ht="49.5" customHeight="1" x14ac:dyDescent="0.2">
      <c r="A146" s="8"/>
      <c r="B146" s="8"/>
      <c r="C146" s="7" t="str">
        <f>'Budzet 2018'!H1865</f>
        <v>ПРОЈЕКАТ 1.41 Израда техничке документације за уређење комплекса пијаце у Бешки</v>
      </c>
      <c r="D146" s="2"/>
      <c r="E146" s="2"/>
      <c r="F146" s="5">
        <f>'Budzet 2018'!I1868</f>
        <v>600000</v>
      </c>
      <c r="G146" s="5">
        <f>'Budzet 2018'!J1868</f>
        <v>0</v>
      </c>
      <c r="H146" s="5">
        <f>'Budzet 2018'!K1868</f>
        <v>600000</v>
      </c>
    </row>
    <row r="147" spans="1:12" ht="29.25" customHeight="1" x14ac:dyDescent="0.2">
      <c r="A147" s="8"/>
      <c r="B147" s="8"/>
      <c r="C147" s="553" t="str">
        <f>'Budzet 2018'!H2337</f>
        <v>ПРОЈЕКАТ 1 - "ЈАВНИ РЕД И БЕЗБЕДНОСТ"</v>
      </c>
      <c r="D147" s="2"/>
      <c r="E147" s="2"/>
      <c r="F147" s="5">
        <f>'Budzet 2018'!I2348</f>
        <v>14300000</v>
      </c>
      <c r="G147" s="5">
        <f>'Budzet 2018'!J2348</f>
        <v>0</v>
      </c>
      <c r="H147" s="5">
        <f>'Budzet 2018'!K2348</f>
        <v>14300000</v>
      </c>
    </row>
    <row r="148" spans="1:12" ht="33.75" x14ac:dyDescent="0.2">
      <c r="A148" s="75" t="s">
        <v>477</v>
      </c>
      <c r="B148" s="75"/>
      <c r="C148" s="76" t="s">
        <v>502</v>
      </c>
      <c r="D148" s="76" t="s">
        <v>619</v>
      </c>
      <c r="E148" s="76" t="s">
        <v>620</v>
      </c>
      <c r="F148" s="77">
        <f>SUM(F149:F155)</f>
        <v>407264000</v>
      </c>
      <c r="G148" s="77">
        <f t="shared" ref="G148" si="9">SUM(G149:G155)</f>
        <v>13000000</v>
      </c>
      <c r="H148" s="77">
        <f>SUM(F148:G148)</f>
        <v>420264000</v>
      </c>
      <c r="L148" s="538"/>
    </row>
    <row r="149" spans="1:12" ht="45" x14ac:dyDescent="0.2">
      <c r="A149" s="12"/>
      <c r="B149" s="8" t="s">
        <v>286</v>
      </c>
      <c r="C149" s="2" t="s">
        <v>945</v>
      </c>
      <c r="D149" s="2" t="s">
        <v>621</v>
      </c>
      <c r="E149" s="2" t="s">
        <v>622</v>
      </c>
      <c r="F149" s="4">
        <f>'Budzet 2018'!I885</f>
        <v>265028000</v>
      </c>
      <c r="G149" s="4">
        <f>'Budzet 2018'!J885</f>
        <v>13000000</v>
      </c>
      <c r="H149" s="4">
        <f>'Budzet 2018'!K885</f>
        <v>278028000</v>
      </c>
    </row>
    <row r="150" spans="1:12" ht="33.75" x14ac:dyDescent="0.2">
      <c r="A150" s="12"/>
      <c r="B150" s="8"/>
      <c r="C150" s="7" t="str">
        <f>'Budzet 2018'!H889</f>
        <v>ПРОЈЕКАТ 1 - Израда пројектне документације за изградњу вртића у Инђији</v>
      </c>
      <c r="D150" s="2"/>
      <c r="E150" s="2"/>
      <c r="F150" s="4">
        <f>'Budzet 2018'!I892</f>
        <v>1000</v>
      </c>
      <c r="G150" s="4">
        <f>'Budzet 2018'!J892</f>
        <v>0</v>
      </c>
      <c r="H150" s="4">
        <f>'Budzet 2018'!K892</f>
        <v>1000</v>
      </c>
    </row>
    <row r="151" spans="1:12" ht="56.25" customHeight="1" x14ac:dyDescent="0.2">
      <c r="A151" s="12"/>
      <c r="B151" s="8"/>
      <c r="C151" s="22" t="str">
        <f>'Budzet 2018'!H894</f>
        <v>ПРОЈЕКАТ 1.1 - Израда пројектне документације и  изградња новог објекта за предшколску установу - прва фаза</v>
      </c>
      <c r="D151" s="2"/>
      <c r="E151" s="2"/>
      <c r="F151" s="4">
        <f>'Budzet 2018'!I897</f>
        <v>132600000</v>
      </c>
      <c r="G151" s="4">
        <f>'Budzet 2018'!J897</f>
        <v>0</v>
      </c>
      <c r="H151" s="4">
        <f>'Budzet 2018'!K897</f>
        <v>132600000</v>
      </c>
    </row>
    <row r="152" spans="1:12" ht="39.75" customHeight="1" x14ac:dyDescent="0.2">
      <c r="A152" s="12"/>
      <c r="B152" s="8"/>
      <c r="C152" s="7" t="str">
        <f>'Budzet 2018'!H899</f>
        <v>ПРОЈЕКАТ 1.1А - Доградња вртића на објекту "Невен" у Инђији</v>
      </c>
      <c r="D152" s="2"/>
      <c r="E152" s="2"/>
      <c r="F152" s="4">
        <f>'Budzet 2018'!I903</f>
        <v>7332000</v>
      </c>
      <c r="G152" s="4">
        <f>'Budzet 2018'!J903</f>
        <v>0</v>
      </c>
      <c r="H152" s="4">
        <f>'Budzet 2018'!K903</f>
        <v>7332000</v>
      </c>
    </row>
    <row r="153" spans="1:12" ht="38.25" customHeight="1" x14ac:dyDescent="0.2">
      <c r="A153" s="12"/>
      <c r="B153" s="8"/>
      <c r="C153" s="266" t="str">
        <f>'Budzet 2018'!H907</f>
        <v>ПРОЈЕКАТ 1.2 - Школица живота - заједно за детињство - Вртић Љуково</v>
      </c>
      <c r="D153" s="267"/>
      <c r="E153" s="267"/>
      <c r="F153" s="183">
        <f>'Budzet 2018'!I912</f>
        <v>2001000</v>
      </c>
      <c r="G153" s="183">
        <f>'Budzet 2018'!J912</f>
        <v>0</v>
      </c>
      <c r="H153" s="183">
        <f>'Budzet 2018'!K912</f>
        <v>2001000</v>
      </c>
    </row>
    <row r="154" spans="1:12" ht="56.25" x14ac:dyDescent="0.2">
      <c r="A154" s="12"/>
      <c r="B154" s="8"/>
      <c r="C154" s="268" t="str">
        <f>'Budzet 2018'!H916</f>
        <v>ПРОЈЕКАТ 1.3 - Израда пројектне документације, доградња и санација објекта предшколске установе у Бешки</v>
      </c>
      <c r="D154" s="267"/>
      <c r="E154" s="267"/>
      <c r="F154" s="269">
        <f>'Budzet 2018'!I920</f>
        <v>2000</v>
      </c>
      <c r="G154" s="269">
        <f>'Budzet 2018'!J920</f>
        <v>0</v>
      </c>
      <c r="H154" s="269">
        <f>'Budzet 2018'!K920</f>
        <v>2000</v>
      </c>
    </row>
    <row r="155" spans="1:12" ht="48.75" customHeight="1" x14ac:dyDescent="0.2">
      <c r="A155" s="12"/>
      <c r="B155" s="8"/>
      <c r="C155" s="268" t="str">
        <f>'Budzet 2018'!H922</f>
        <v>ПРОЈЕКАТ 1.4 - Израда пројектне документације за доградњу вртића у Новом Сланкамену</v>
      </c>
      <c r="D155" s="267"/>
      <c r="E155" s="267"/>
      <c r="F155" s="269">
        <f>'Budzet 2018'!I925</f>
        <v>300000</v>
      </c>
      <c r="G155" s="269">
        <f>'Budzet 2018'!J925</f>
        <v>0</v>
      </c>
      <c r="H155" s="269">
        <f>'Budzet 2018'!K925</f>
        <v>300000</v>
      </c>
    </row>
    <row r="156" spans="1:12" ht="33.75" x14ac:dyDescent="0.2">
      <c r="A156" s="75" t="s">
        <v>478</v>
      </c>
      <c r="B156" s="75"/>
      <c r="C156" s="76" t="s">
        <v>623</v>
      </c>
      <c r="D156" s="76" t="s">
        <v>503</v>
      </c>
      <c r="E156" s="76" t="s">
        <v>624</v>
      </c>
      <c r="F156" s="77">
        <f>SUM(F157:F158)</f>
        <v>184710123</v>
      </c>
      <c r="G156" s="77">
        <f t="shared" ref="G156:H156" si="10">SUM(G157:G158)</f>
        <v>0</v>
      </c>
      <c r="H156" s="77">
        <f t="shared" si="10"/>
        <v>184710123</v>
      </c>
      <c r="L156" s="538"/>
    </row>
    <row r="157" spans="1:12" ht="33.75" x14ac:dyDescent="0.2">
      <c r="A157" s="12"/>
      <c r="B157" s="8" t="s">
        <v>287</v>
      </c>
      <c r="C157" s="2" t="str">
        <f>'Budzet 2018'!H930</f>
        <v>Функционисање основних школа</v>
      </c>
      <c r="D157" s="2" t="s">
        <v>625</v>
      </c>
      <c r="E157" s="2" t="s">
        <v>626</v>
      </c>
      <c r="F157" s="4">
        <f>'Budzet 2018'!I954</f>
        <v>183110123</v>
      </c>
      <c r="G157" s="4">
        <f>'Budzet 2018'!J954</f>
        <v>0</v>
      </c>
      <c r="H157" s="4">
        <f>'Budzet 2018'!K954</f>
        <v>183110123</v>
      </c>
    </row>
    <row r="158" spans="1:12" ht="47.25" customHeight="1" x14ac:dyDescent="0.2">
      <c r="A158" s="12"/>
      <c r="B158" s="8"/>
      <c r="C158" s="2" t="str">
        <f>'Budzet 2018'!H956</f>
        <v>ПРОЈЕКАТ 1 -  Реконструкција објекта ОШ Душан Јерковић (дворац Пеачевић)</v>
      </c>
      <c r="D158" s="2"/>
      <c r="E158" s="2"/>
      <c r="F158" s="4">
        <f>'Budzet 2018'!I959</f>
        <v>1600000</v>
      </c>
      <c r="G158" s="4">
        <f>'Budzet 2018'!J959</f>
        <v>0</v>
      </c>
      <c r="H158" s="4">
        <f>'Budzet 2018'!K959</f>
        <v>1600000</v>
      </c>
    </row>
    <row r="159" spans="1:12" ht="33.75" x14ac:dyDescent="0.2">
      <c r="A159" s="75" t="s">
        <v>479</v>
      </c>
      <c r="B159" s="75"/>
      <c r="C159" s="76" t="s">
        <v>627</v>
      </c>
      <c r="D159" s="76" t="s">
        <v>628</v>
      </c>
      <c r="E159" s="76" t="s">
        <v>629</v>
      </c>
      <c r="F159" s="77">
        <f>SUM(F160:F161)</f>
        <v>61113651.049999997</v>
      </c>
      <c r="G159" s="77">
        <f>SUM(G160:G161)</f>
        <v>0</v>
      </c>
      <c r="H159" s="77">
        <f>SUM(H160:H161)</f>
        <v>61113651.049999997</v>
      </c>
      <c r="L159" s="538"/>
    </row>
    <row r="160" spans="1:12" ht="33.75" x14ac:dyDescent="0.2">
      <c r="A160" s="12"/>
      <c r="B160" s="8" t="s">
        <v>289</v>
      </c>
      <c r="C160" s="2" t="s">
        <v>946</v>
      </c>
      <c r="D160" s="2" t="s">
        <v>630</v>
      </c>
      <c r="E160" s="2" t="s">
        <v>631</v>
      </c>
      <c r="F160" s="4">
        <f>'Budzet 2018'!I988</f>
        <v>56303000</v>
      </c>
      <c r="G160" s="4">
        <f>'Budzet 2018'!J988</f>
        <v>0</v>
      </c>
      <c r="H160" s="4">
        <f>'Budzet 2018'!K988</f>
        <v>56303000</v>
      </c>
    </row>
    <row r="161" spans="1:12" ht="33.75" x14ac:dyDescent="0.2">
      <c r="A161" s="12"/>
      <c r="B161" s="8"/>
      <c r="C161" s="7" t="str">
        <f>'Budzet 2018'!H992</f>
        <v>ПРОЈЕКАТ 1 - ТШ "Михајло Пупин" Инђија - Адаптација фискултурне сале</v>
      </c>
      <c r="D161" s="2"/>
      <c r="E161" s="2"/>
      <c r="F161" s="4">
        <f>'Budzet 2018'!I998</f>
        <v>4810651.05</v>
      </c>
      <c r="G161" s="4">
        <f>'Budzet 2018'!J998</f>
        <v>0</v>
      </c>
      <c r="H161" s="4">
        <f>'Budzet 2018'!K998</f>
        <v>4810651.05</v>
      </c>
    </row>
    <row r="162" spans="1:12" ht="45" x14ac:dyDescent="0.2">
      <c r="A162" s="75" t="s">
        <v>300</v>
      </c>
      <c r="B162" s="75"/>
      <c r="C162" s="76" t="s">
        <v>504</v>
      </c>
      <c r="D162" s="76" t="s">
        <v>632</v>
      </c>
      <c r="E162" s="76" t="s">
        <v>633</v>
      </c>
      <c r="F162" s="77">
        <f>SUM(F163:F171)</f>
        <v>213987625.40000001</v>
      </c>
      <c r="G162" s="77">
        <f>SUM(G163:G171)</f>
        <v>0</v>
      </c>
      <c r="H162" s="77">
        <f>SUM(F162:G162)</f>
        <v>213987625.40000001</v>
      </c>
      <c r="L162" s="538"/>
    </row>
    <row r="163" spans="1:12" ht="33.75" x14ac:dyDescent="0.2">
      <c r="A163" s="12"/>
      <c r="B163" s="8" t="s">
        <v>301</v>
      </c>
      <c r="C163" s="9" t="str">
        <f>'Budzet 2018'!H1175</f>
        <v>Једнократне помоћи и други облици помоћи</v>
      </c>
      <c r="D163" s="9" t="s">
        <v>505</v>
      </c>
      <c r="E163" s="9" t="s">
        <v>634</v>
      </c>
      <c r="F163" s="4">
        <f>'Budzet 2018'!I384+'Budzet 2018'!I1184+'Budzet 2018'!I1194+'Budzet 2018'!I1210</f>
        <v>118905000</v>
      </c>
      <c r="G163" s="4">
        <f>'Budzet 2018'!J384+'Budzet 2018'!J1184+'Budzet 2018'!J1210</f>
        <v>0</v>
      </c>
      <c r="H163" s="4">
        <f>'Budzet 2018'!K384+'Budzet 2018'!K1184+'Budzet 2018'!K1210</f>
        <v>118695000</v>
      </c>
    </row>
    <row r="164" spans="1:12" ht="33.75" x14ac:dyDescent="0.2">
      <c r="A164" s="12"/>
      <c r="B164" s="8" t="s">
        <v>304</v>
      </c>
      <c r="C164" s="9" t="str">
        <f>'Budzet 2018'!H1228</f>
        <v>Породични и домски смештај, прихватилишта и друге врсте смештаја</v>
      </c>
      <c r="D164" s="9" t="s">
        <v>729</v>
      </c>
      <c r="E164" s="9" t="s">
        <v>947</v>
      </c>
      <c r="F164" s="4">
        <f>'Budzet 2018'!I1236</f>
        <v>500000</v>
      </c>
      <c r="G164" s="4">
        <f>'Budzet 2018'!J1233</f>
        <v>0</v>
      </c>
      <c r="H164" s="10">
        <f t="shared" ref="H164" si="11">SUM(F164:G164)</f>
        <v>500000</v>
      </c>
    </row>
    <row r="165" spans="1:12" ht="78.75" x14ac:dyDescent="0.2">
      <c r="A165" s="12"/>
      <c r="B165" s="8" t="s">
        <v>305</v>
      </c>
      <c r="C165" s="2" t="str">
        <f>'Budzet 2018'!H393</f>
        <v>Подршка реализацији програма Црвеног крста</v>
      </c>
      <c r="D165" s="2" t="s">
        <v>635</v>
      </c>
      <c r="E165" s="2" t="s">
        <v>636</v>
      </c>
      <c r="F165" s="5">
        <f>'Budzet 2018'!I400+'Budzet 2018'!I1247</f>
        <v>8500000</v>
      </c>
      <c r="G165" s="5">
        <f>'Budzet 2018'!J403+'Budzet 2018'!J1247+'Budzet 2018'!J1256+'Budzet 2018'!J1265</f>
        <v>0</v>
      </c>
      <c r="H165" s="5">
        <f>SUM(F165:G165)</f>
        <v>8500000</v>
      </c>
    </row>
    <row r="166" spans="1:12" ht="22.5" x14ac:dyDescent="0.2">
      <c r="A166" s="12"/>
      <c r="B166" s="8" t="s">
        <v>303</v>
      </c>
      <c r="C166" s="2" t="str">
        <f>'Budzet 2018'!H1213</f>
        <v>Подршка деци и породици са децом</v>
      </c>
      <c r="D166" s="2" t="s">
        <v>637</v>
      </c>
      <c r="E166" s="2" t="s">
        <v>638</v>
      </c>
      <c r="F166" s="270">
        <f>'Budzet 2018'!I1225</f>
        <v>51200000</v>
      </c>
      <c r="G166" s="5">
        <f>'Budzet 2018'!J1225</f>
        <v>0</v>
      </c>
      <c r="H166" s="5">
        <f>'Budzet 2018'!K1225</f>
        <v>51200000</v>
      </c>
    </row>
    <row r="167" spans="1:12" ht="37.5" customHeight="1" x14ac:dyDescent="0.2">
      <c r="A167" s="12"/>
      <c r="B167" s="8"/>
      <c r="C167" s="2" t="str">
        <f>'Budzet 2018'!H386</f>
        <v>ПРОЈЕКАТ  1 "Домски смештај ученика и студената"</v>
      </c>
      <c r="D167" s="2"/>
      <c r="E167" s="2"/>
      <c r="F167" s="270">
        <f>'Budzet 2018'!I390</f>
        <v>1000000</v>
      </c>
      <c r="G167" s="5">
        <f>'Budzet 2018'!J390</f>
        <v>0</v>
      </c>
      <c r="H167" s="5">
        <f>'Budzet 2018'!K390</f>
        <v>1000000</v>
      </c>
    </row>
    <row r="168" spans="1:12" ht="22.5" x14ac:dyDescent="0.2">
      <c r="A168" s="12"/>
      <c r="B168" s="8"/>
      <c r="C168" s="7" t="str">
        <f>'Budzet 2018'!H1251</f>
        <v>ПРОЈЕКАТ 1 - БЕСПЛАТНЕ УЖИНЕ</v>
      </c>
      <c r="D168" s="2"/>
      <c r="E168" s="2"/>
      <c r="F168" s="270">
        <f>SUM('Budzet 2018'!I1256)</f>
        <v>4000000</v>
      </c>
      <c r="G168" s="5">
        <f>SUM('Budzet 2018'!J1256)</f>
        <v>0</v>
      </c>
      <c r="H168" s="5">
        <f>SUM('Budzet 2018'!K1256)</f>
        <v>4000000</v>
      </c>
      <c r="L168" s="538"/>
    </row>
    <row r="169" spans="1:12" ht="33.75" x14ac:dyDescent="0.2">
      <c r="A169" s="12"/>
      <c r="B169" s="8"/>
      <c r="C169" s="7" t="str">
        <f>'Budzet 2018'!H1260</f>
        <v>ПРОЈЕКАТ 2 - ФИНАНСИРАЊЕ ВАНТЕЛЕСНЕ ОПЛОДЊЕ</v>
      </c>
      <c r="D169" s="2"/>
      <c r="E169" s="2"/>
      <c r="F169" s="270">
        <f>'Budzet 2018'!I1265</f>
        <v>1500000</v>
      </c>
      <c r="G169" s="5">
        <f>'Budzet 2018'!J1265</f>
        <v>0</v>
      </c>
      <c r="H169" s="5">
        <f>'Budzet 2018'!K1265</f>
        <v>1500000</v>
      </c>
    </row>
    <row r="170" spans="1:12" ht="56.25" x14ac:dyDescent="0.2">
      <c r="A170" s="12"/>
      <c r="B170" s="8"/>
      <c r="C170" s="7" t="str">
        <f>'Budzet 2018'!H1269</f>
        <v>ПРОЈЕКАТ 3 - ФИНАНСИРАЊЕ УСЛУГА СОЦИЈАЛНЕ ЗАШТИТЕ НА ТЕРИТОРИЈИ ОПШТИНЕ ИНЂИЈА</v>
      </c>
      <c r="D170" s="2"/>
      <c r="E170" s="2"/>
      <c r="F170" s="270">
        <f>'Budzet 2018'!I1274</f>
        <v>5482625.4000000004</v>
      </c>
      <c r="G170" s="5">
        <f>'Budzet 2018'!J1274</f>
        <v>0</v>
      </c>
      <c r="H170" s="5">
        <f>'Budzet 2018'!K1274</f>
        <v>5482625.4000000004</v>
      </c>
    </row>
    <row r="171" spans="1:12" ht="47.25" customHeight="1" x14ac:dyDescent="0.2">
      <c r="A171" s="12"/>
      <c r="B171" s="8"/>
      <c r="C171" s="22" t="str">
        <f>'Budzet 2018'!H1276</f>
        <v>ПРОЈЕКАТ 4 - ПОДРШКА ДЕЦИ И ПОРОДИЦАМА СА ДЕЦОМ ОШТЕЋЕНОМ У РАЗВОЈУ - ИНО ПРОЈЕКАТ</v>
      </c>
      <c r="D171" s="2"/>
      <c r="E171" s="2"/>
      <c r="F171" s="270">
        <f>'Budzet 2018'!I1289</f>
        <v>22900000</v>
      </c>
      <c r="G171" s="5">
        <f>'Budzet 2018'!J1289</f>
        <v>0</v>
      </c>
      <c r="H171" s="5">
        <f>'Budzet 2018'!K1289</f>
        <v>22900000</v>
      </c>
    </row>
    <row r="172" spans="1:12" ht="33.75" x14ac:dyDescent="0.2">
      <c r="A172" s="75" t="s">
        <v>306</v>
      </c>
      <c r="B172" s="75"/>
      <c r="C172" s="76" t="s">
        <v>639</v>
      </c>
      <c r="D172" s="76" t="s">
        <v>640</v>
      </c>
      <c r="E172" s="76" t="s">
        <v>641</v>
      </c>
      <c r="F172" s="77">
        <f>SUM(F173:F174)</f>
        <v>127002000</v>
      </c>
      <c r="G172" s="77">
        <f>SUM(G173:G174)</f>
        <v>0</v>
      </c>
      <c r="H172" s="77">
        <f>SUM(H173:H174)</f>
        <v>127002000</v>
      </c>
      <c r="L172" s="538"/>
    </row>
    <row r="173" spans="1:12" ht="33.75" x14ac:dyDescent="0.2">
      <c r="A173" s="12"/>
      <c r="B173" s="8" t="s">
        <v>307</v>
      </c>
      <c r="C173" s="2" t="str">
        <f>'Budzet 2018'!H1294</f>
        <v>Функционисање установа примарне здравствене заштите</v>
      </c>
      <c r="D173" s="2" t="s">
        <v>642</v>
      </c>
      <c r="E173" s="2" t="s">
        <v>643</v>
      </c>
      <c r="F173" s="4">
        <f>'Budzet 2018'!I1307</f>
        <v>127000000</v>
      </c>
      <c r="G173" s="4">
        <f>'Budzet 2018'!J1307</f>
        <v>0</v>
      </c>
      <c r="H173" s="4">
        <f>'Budzet 2018'!K1307</f>
        <v>127000000</v>
      </c>
    </row>
    <row r="174" spans="1:12" ht="45" x14ac:dyDescent="0.2">
      <c r="A174" s="12"/>
      <c r="B174" s="8"/>
      <c r="C174" s="7" t="str">
        <f>'Budzet 2018'!H1876</f>
        <v xml:space="preserve">ПРОЈЕКАТ 1.1 - Израда пројектне документације и реконструкција амбуланте у Бешки </v>
      </c>
      <c r="D174" s="2"/>
      <c r="E174" s="2"/>
      <c r="F174" s="4">
        <f>'Budzet 2018'!I1880</f>
        <v>2000</v>
      </c>
      <c r="G174" s="4">
        <f>'Budzet 2018'!J1880</f>
        <v>0</v>
      </c>
      <c r="H174" s="4">
        <f t="shared" ref="H174" si="12">SUM(F174:G174)</f>
        <v>2000</v>
      </c>
    </row>
    <row r="175" spans="1:12" ht="33.75" x14ac:dyDescent="0.2">
      <c r="A175" s="75" t="s">
        <v>481</v>
      </c>
      <c r="B175" s="75"/>
      <c r="C175" s="76" t="s">
        <v>644</v>
      </c>
      <c r="D175" s="76" t="s">
        <v>645</v>
      </c>
      <c r="E175" s="76" t="s">
        <v>646</v>
      </c>
      <c r="F175" s="77">
        <f>SUM(F176:F182)</f>
        <v>139095301</v>
      </c>
      <c r="G175" s="77">
        <f t="shared" ref="G175" si="13">SUM(G176:G182)</f>
        <v>16056800</v>
      </c>
      <c r="H175" s="77">
        <f>SUM(H176:H182)</f>
        <v>155152101</v>
      </c>
      <c r="L175" s="538"/>
    </row>
    <row r="176" spans="1:12" ht="33.75" x14ac:dyDescent="0.2">
      <c r="A176" s="12"/>
      <c r="B176" s="20" t="s">
        <v>291</v>
      </c>
      <c r="C176" s="11" t="str">
        <f>'Budzet 2018'!H1020</f>
        <v>Функционисање локалних установа културе</v>
      </c>
      <c r="D176" s="7" t="s">
        <v>647</v>
      </c>
      <c r="E176" s="7" t="s">
        <v>648</v>
      </c>
      <c r="F176" s="4">
        <f>'Budzet 2018'!I1043+'Budzet 2018'!I1095</f>
        <v>52457300</v>
      </c>
      <c r="G176" s="4">
        <f>'Budzet 2018'!J1043+'Budzet 2018'!J1095</f>
        <v>11136800</v>
      </c>
      <c r="H176" s="4">
        <f>'Budzet 2018'!K1043+'Budzet 2018'!K1095</f>
        <v>63594100</v>
      </c>
    </row>
    <row r="177" spans="1:13" ht="33.75" x14ac:dyDescent="0.2">
      <c r="A177" s="12"/>
      <c r="B177" s="20" t="s">
        <v>295</v>
      </c>
      <c r="C177" s="9" t="str">
        <f>'Budzet 2018'!H474</f>
        <v>Јачање културне продукције и уметничког стваралаштва</v>
      </c>
      <c r="D177" s="9" t="s">
        <v>649</v>
      </c>
      <c r="E177" s="9" t="s">
        <v>650</v>
      </c>
      <c r="F177" s="4">
        <f>'Budzet 2018'!I481+'Budzet 2018'!I1056+'Budzet 2018'!I1103</f>
        <v>23780000</v>
      </c>
      <c r="G177" s="4">
        <f>'Budzet 2018'!J481+'Budzet 2018'!J1056+'Budzet 2018'!J1103</f>
        <v>4920000</v>
      </c>
      <c r="H177" s="4">
        <f>'Budzet 2018'!K481+'Budzet 2018'!K1056+'Budzet 2018'!K1103</f>
        <v>28700000</v>
      </c>
    </row>
    <row r="178" spans="1:13" ht="45" x14ac:dyDescent="0.2">
      <c r="A178" s="8"/>
      <c r="B178" s="8" t="s">
        <v>544</v>
      </c>
      <c r="C178" s="7" t="str">
        <f>'Budzet 2018'!H452</f>
        <v>Унапређење система очувања и представљања културно-историјског наслеђа</v>
      </c>
      <c r="D178" s="2" t="s">
        <v>948</v>
      </c>
      <c r="E178" s="2" t="s">
        <v>949</v>
      </c>
      <c r="F178" s="5">
        <f>'Budzet 2018'!I461</f>
        <v>14000000</v>
      </c>
      <c r="G178" s="5">
        <f>'Budzet 2018'!J461</f>
        <v>0</v>
      </c>
      <c r="H178" s="5">
        <f>'Budzet 2018'!K461</f>
        <v>14000000</v>
      </c>
      <c r="M178" s="538"/>
    </row>
    <row r="179" spans="1:13" ht="45" x14ac:dyDescent="0.2">
      <c r="A179" s="8"/>
      <c r="B179" s="8" t="s">
        <v>546</v>
      </c>
      <c r="C179" s="7" t="str">
        <f>'Budzet 2018'!H464</f>
        <v>Остваривање и унапређивање јавног интереса у области јавног информисања</v>
      </c>
      <c r="D179" s="2" t="s">
        <v>651</v>
      </c>
      <c r="E179" s="2" t="s">
        <v>652</v>
      </c>
      <c r="F179" s="5">
        <f>'Budzet 2018'!I471</f>
        <v>26000000</v>
      </c>
      <c r="G179" s="5">
        <f>'Budzet 2018'!J471</f>
        <v>0</v>
      </c>
      <c r="H179" s="5">
        <f>'Budzet 2018'!K471</f>
        <v>26000000</v>
      </c>
    </row>
    <row r="180" spans="1:13" ht="25.5" customHeight="1" x14ac:dyDescent="0.2">
      <c r="A180" s="8"/>
      <c r="B180" s="8"/>
      <c r="C180" s="7" t="str">
        <f>'Budzet 2018'!H483</f>
        <v>ПРОЈЕКАТ 1 "Општинске културне манифестације "</v>
      </c>
      <c r="D180" s="2"/>
      <c r="E180" s="2"/>
      <c r="F180" s="5">
        <f>'Budzet 2018'!I492</f>
        <v>12300000</v>
      </c>
      <c r="G180" s="5">
        <f>'Budzet 2018'!J492</f>
        <v>0</v>
      </c>
      <c r="H180" s="5">
        <f>'Budzet 2018'!K492</f>
        <v>12300000</v>
      </c>
    </row>
    <row r="181" spans="1:13" ht="56.25" x14ac:dyDescent="0.2">
      <c r="A181" s="8"/>
      <c r="B181" s="8"/>
      <c r="C181" s="7" t="str">
        <f>'Budzet 2018'!H1119</f>
        <v>ПРОЈЕКАТ 1 - "СУФИНАНСИРАЊЕ ТЕКУЋИХ РАСХОДА И ИЗДАТАКА  ДРУГИХ СУБЈЕКАТА У КУЛТУРИ"</v>
      </c>
      <c r="D181" s="2"/>
      <c r="E181" s="2"/>
      <c r="F181" s="5">
        <f>'Budzet 2018'!I1123</f>
        <v>4000000</v>
      </c>
      <c r="G181" s="5">
        <f>'Budzet 2018'!J1123</f>
        <v>0</v>
      </c>
      <c r="H181" s="5">
        <f>'Budzet 2018'!K1123</f>
        <v>4000000</v>
      </c>
    </row>
    <row r="182" spans="1:13" ht="27" customHeight="1" x14ac:dyDescent="0.2">
      <c r="A182" s="8"/>
      <c r="B182" s="8"/>
      <c r="C182" s="22" t="str">
        <f>'Budzet 2018'!H1126</f>
        <v>ПРОЈЕКАТ 2- "ИЗРАДА СПОМЕН ОБЕЛЕЖЈА"</v>
      </c>
      <c r="D182" s="2"/>
      <c r="E182" s="2"/>
      <c r="F182" s="5">
        <f>'Budzet 2018'!I1133</f>
        <v>6558001</v>
      </c>
      <c r="G182" s="5">
        <f>'Budzet 2018'!J1133</f>
        <v>0</v>
      </c>
      <c r="H182" s="4">
        <f t="shared" ref="H182" si="14">SUM(F182:G182)</f>
        <v>6558001</v>
      </c>
    </row>
    <row r="183" spans="1:13" ht="33.75" x14ac:dyDescent="0.2">
      <c r="A183" s="75" t="s">
        <v>298</v>
      </c>
      <c r="B183" s="75"/>
      <c r="C183" s="76" t="s">
        <v>506</v>
      </c>
      <c r="D183" s="76" t="s">
        <v>653</v>
      </c>
      <c r="E183" s="76" t="s">
        <v>654</v>
      </c>
      <c r="F183" s="77">
        <f>SUM(F184:F202)</f>
        <v>340328135.02999997</v>
      </c>
      <c r="G183" s="77">
        <f t="shared" ref="G183" si="15">SUM(G184:G202)</f>
        <v>0</v>
      </c>
      <c r="H183" s="77">
        <f>SUM(F183:G183)</f>
        <v>340328135.02999997</v>
      </c>
      <c r="L183" s="538"/>
    </row>
    <row r="184" spans="1:13" ht="33.75" x14ac:dyDescent="0.2">
      <c r="A184" s="12"/>
      <c r="B184" s="8" t="s">
        <v>327</v>
      </c>
      <c r="C184" s="9" t="str">
        <f>'Budzet 2018'!H501</f>
        <v>Подршка локалним спортским организацијама, удружењима и савезима</v>
      </c>
      <c r="D184" s="9" t="s">
        <v>655</v>
      </c>
      <c r="E184" s="9" t="s">
        <v>656</v>
      </c>
      <c r="F184" s="4">
        <f>'Budzet 2018'!I509</f>
        <v>75001000</v>
      </c>
      <c r="G184" s="4">
        <f>'Budzet 2018'!J509</f>
        <v>0</v>
      </c>
      <c r="H184" s="4">
        <f>SUM(F184:G184)</f>
        <v>75001000</v>
      </c>
    </row>
    <row r="185" spans="1:13" ht="22.5" x14ac:dyDescent="0.2">
      <c r="A185" s="8"/>
      <c r="B185" s="8" t="s">
        <v>571</v>
      </c>
      <c r="C185" s="7" t="str">
        <f>'Budzet 2018'!H1145</f>
        <v>Функционисање локалних спортских установа</v>
      </c>
      <c r="D185" s="2" t="s">
        <v>657</v>
      </c>
      <c r="E185" s="2" t="s">
        <v>658</v>
      </c>
      <c r="F185" s="5">
        <f>'Budzet 2018'!I1153+'Budzet 2018'!I1357</f>
        <v>116388000</v>
      </c>
      <c r="G185" s="5">
        <f>'Budzet 2018'!J1153</f>
        <v>0</v>
      </c>
      <c r="H185" s="4">
        <f t="shared" ref="H185:H186" si="16">SUM(F185:G185)</f>
        <v>116388000</v>
      </c>
    </row>
    <row r="186" spans="1:13" ht="38.25" customHeight="1" x14ac:dyDescent="0.2">
      <c r="A186" s="8"/>
      <c r="B186" s="8" t="s">
        <v>1162</v>
      </c>
      <c r="C186" s="7" t="str">
        <f>'Budzet 2018'!H1164</f>
        <v>Спровођење омладинске политике</v>
      </c>
      <c r="D186" s="2" t="s">
        <v>1177</v>
      </c>
      <c r="E186" s="2" t="s">
        <v>1178</v>
      </c>
      <c r="F186" s="5">
        <f>'Budzet 2018'!I1170</f>
        <v>473803.44</v>
      </c>
      <c r="G186" s="5">
        <v>0</v>
      </c>
      <c r="H186" s="4">
        <f t="shared" si="16"/>
        <v>473803.44</v>
      </c>
    </row>
    <row r="187" spans="1:13" ht="22.5" x14ac:dyDescent="0.2">
      <c r="A187" s="8"/>
      <c r="B187" s="8"/>
      <c r="C187" s="7" t="str">
        <f>'Budzet 2018'!H511</f>
        <v>ПРОЈЕКАТ "ИНВЕСТИЦИЈЕ У СПОРТУ"</v>
      </c>
      <c r="D187" s="2"/>
      <c r="E187" s="2"/>
      <c r="F187" s="5">
        <f>'Budzet 2018'!I517</f>
        <v>1000</v>
      </c>
      <c r="G187" s="5">
        <f>'Budzet 2018'!J1161</f>
        <v>0</v>
      </c>
      <c r="H187" s="10">
        <f t="shared" ref="H187" si="17">SUM(F187:G187)</f>
        <v>1000</v>
      </c>
      <c r="K187" s="538"/>
    </row>
    <row r="188" spans="1:13" ht="23.25" customHeight="1" x14ac:dyDescent="0.2">
      <c r="A188" s="8"/>
      <c r="B188" s="8"/>
      <c r="C188" s="7" t="str">
        <f>'Budzet 2018'!H1157</f>
        <v>ПРОЈЕКАТ 1 - "Услуге закупа клизалишта"</v>
      </c>
      <c r="D188" s="2"/>
      <c r="E188" s="2"/>
      <c r="F188" s="5">
        <f>'Budzet 2018'!I1161</f>
        <v>4500000</v>
      </c>
      <c r="G188" s="5">
        <f>'Budzet 2018'!J1161</f>
        <v>0</v>
      </c>
      <c r="H188" s="5">
        <f>'Budzet 2018'!K1161</f>
        <v>4500000</v>
      </c>
    </row>
    <row r="189" spans="1:13" ht="80.25" customHeight="1" x14ac:dyDescent="0.2">
      <c r="A189" s="8"/>
      <c r="B189" s="8"/>
      <c r="C189" s="7" t="str">
        <f>'Budzet 2018'!H1888</f>
        <v>ПРОЈЕКАТ 1.1 - Припрема, допуна документације и исходовање документације за завршетак радова на спортској хали у Инђији до добијања употребне дозволе</v>
      </c>
      <c r="D189" s="2"/>
      <c r="E189" s="2"/>
      <c r="F189" s="5">
        <f>'Budzet 2018'!I1892</f>
        <v>30001000</v>
      </c>
      <c r="G189" s="5">
        <f>'Budzet 2018'!J1892</f>
        <v>0</v>
      </c>
      <c r="H189" s="5">
        <f>'Budzet 2018'!K1892</f>
        <v>30001000</v>
      </c>
    </row>
    <row r="190" spans="1:13" ht="86.25" customHeight="1" x14ac:dyDescent="0.2">
      <c r="A190" s="8"/>
      <c r="B190" s="8"/>
      <c r="C190" s="7" t="str">
        <f>'Budzet 2018'!H1894</f>
        <v>ПРОЈЕКАТ 1.2 - Израда плана детаљне регулације дела блока 9 у насељу Бешка намењеном за спортско рекреативне садржаје и изградњу спортске сале</v>
      </c>
      <c r="D190" s="2"/>
      <c r="E190" s="2"/>
      <c r="F190" s="5">
        <f>'Budzet 2018'!I1897</f>
        <v>600000</v>
      </c>
      <c r="G190" s="5">
        <f>'Budzet 2018'!J1897</f>
        <v>0</v>
      </c>
      <c r="H190" s="5">
        <f>'Budzet 2018'!K1897</f>
        <v>600000</v>
      </c>
    </row>
    <row r="191" spans="1:13" ht="34.5" customHeight="1" x14ac:dyDescent="0.2">
      <c r="A191" s="8"/>
      <c r="B191" s="8"/>
      <c r="C191" s="7" t="str">
        <f>'Budzet 2018'!H1899</f>
        <v>ПРОЈЕКАТ 1.3 - Изградња спортске хале у Бешки прва фаза</v>
      </c>
      <c r="D191" s="2"/>
      <c r="E191" s="2"/>
      <c r="F191" s="5">
        <f>'Budzet 2018'!I1904</f>
        <v>3000</v>
      </c>
      <c r="G191" s="5">
        <f>'Budzet 2018'!J1904</f>
        <v>0</v>
      </c>
      <c r="H191" s="5">
        <f>'Budzet 2018'!K1904</f>
        <v>3000</v>
      </c>
    </row>
    <row r="192" spans="1:13" ht="46.5" customHeight="1" x14ac:dyDescent="0.2">
      <c r="A192" s="8"/>
      <c r="B192" s="8"/>
      <c r="C192" s="7" t="str">
        <f>'Budzet 2018'!H1906</f>
        <v>ПРОЈЕКАТ 1.4- Израда пројектне документације реконструкције стадиона Хајдук у Бешки</v>
      </c>
      <c r="D192" s="2"/>
      <c r="E192" s="2"/>
      <c r="F192" s="5">
        <f>'Budzet 2018'!I1909</f>
        <v>600000</v>
      </c>
      <c r="G192" s="5">
        <f>'Budzet 2018'!J1909</f>
        <v>0</v>
      </c>
      <c r="H192" s="5">
        <f>'Budzet 2018'!K1909</f>
        <v>600000</v>
      </c>
    </row>
    <row r="193" spans="1:12" ht="60" customHeight="1" x14ac:dyDescent="0.2">
      <c r="A193" s="8"/>
      <c r="B193" s="8"/>
      <c r="C193" s="22" t="str">
        <f>'Budzet 2018'!H1911</f>
        <v>ПРОЈЕКАТ 1.5 - Израда пројектне докумемнтације и извођење радова за хидромасажни базен и плато</v>
      </c>
      <c r="D193" s="2"/>
      <c r="E193" s="2"/>
      <c r="F193" s="5">
        <f>'Budzet 2018'!I1915</f>
        <v>5264001</v>
      </c>
      <c r="G193" s="5">
        <f>'Budzet 2018'!J1915</f>
        <v>0</v>
      </c>
      <c r="H193" s="5">
        <f>'Budzet 2018'!K1915</f>
        <v>5264001</v>
      </c>
    </row>
    <row r="194" spans="1:12" ht="46.5" customHeight="1" x14ac:dyDescent="0.2">
      <c r="A194" s="8"/>
      <c r="B194" s="8"/>
      <c r="C194" s="7" t="str">
        <f>'Budzet 2018'!H1917</f>
        <v>ПРОЈЕКАТ 1.6 - Израда пројектне документације и изградња тротоара око спортске хале у Инђији</v>
      </c>
      <c r="D194" s="2"/>
      <c r="E194" s="2"/>
      <c r="F194" s="5">
        <f>'Budzet 2018'!I1920</f>
        <v>1500000</v>
      </c>
      <c r="G194" s="5">
        <f>'Budzet 2018'!J1920</f>
        <v>0</v>
      </c>
      <c r="H194" s="5">
        <f>'Budzet 2018'!K1920</f>
        <v>1500000</v>
      </c>
    </row>
    <row r="195" spans="1:12" ht="45" x14ac:dyDescent="0.2">
      <c r="A195" s="8"/>
      <c r="B195" s="8"/>
      <c r="C195" s="7" t="str">
        <f>'Budzet 2018'!H1922</f>
        <v>ПРОЈЕКАТ 1.7 - Израда пројекта и изградња на спортским теренима у Лејама - прва фаза</v>
      </c>
      <c r="D195" s="2"/>
      <c r="E195" s="2"/>
      <c r="F195" s="5">
        <f>'Budzet 2018'!I1927</f>
        <v>3000</v>
      </c>
      <c r="G195" s="5">
        <f>'Budzet 2018'!J1927</f>
        <v>0</v>
      </c>
      <c r="H195" s="5">
        <f>'Budzet 2018'!K1927</f>
        <v>3000</v>
      </c>
    </row>
    <row r="196" spans="1:12" ht="49.5" customHeight="1" x14ac:dyDescent="0.2">
      <c r="A196" s="8"/>
      <c r="B196" s="8"/>
      <c r="C196" s="7" t="str">
        <f>'Budzet 2018'!H1929</f>
        <v>ПРОЈЕКАТ 1.7А  - Израда пројекта и изградња трим стазе са јавним осветљењем у Лејама</v>
      </c>
      <c r="D196" s="2"/>
      <c r="E196" s="2"/>
      <c r="F196" s="5">
        <f>'Budzet 2018'!I1935</f>
        <v>12841001</v>
      </c>
      <c r="G196" s="5">
        <f>'Budzet 2018'!J1935</f>
        <v>0</v>
      </c>
      <c r="H196" s="5">
        <f>'Budzet 2018'!K1935</f>
        <v>12841001</v>
      </c>
    </row>
    <row r="197" spans="1:12" ht="40.5" customHeight="1" x14ac:dyDescent="0.2">
      <c r="A197" s="8"/>
      <c r="B197" s="8"/>
      <c r="C197" s="7" t="str">
        <f>'Budzet 2018'!H1937</f>
        <v>ПРОЈЕКАТ 1.8 - Изградња спортске сале у Инђији - IV фаза</v>
      </c>
      <c r="D197" s="2"/>
      <c r="E197" s="2"/>
      <c r="F197" s="5">
        <f>'Budzet 2018'!I1941</f>
        <v>86449329.590000004</v>
      </c>
      <c r="G197" s="5">
        <f>'Budzet 2018'!J1941</f>
        <v>0</v>
      </c>
      <c r="H197" s="5">
        <f>'Budzet 2018'!K1941</f>
        <v>86449329.590000004</v>
      </c>
    </row>
    <row r="198" spans="1:12" ht="50.25" customHeight="1" x14ac:dyDescent="0.2">
      <c r="A198" s="8"/>
      <c r="B198" s="8"/>
      <c r="C198" s="7" t="str">
        <f>'Budzet 2018'!H1943</f>
        <v>ПРОЈЕКАТ 1.9 - Завршетак изградње спортске хале у Инђији - ПАРТЕРНО УРЕЂЕЊЕ</v>
      </c>
      <c r="D198" s="2"/>
      <c r="E198" s="2"/>
      <c r="F198" s="5">
        <f>'Budzet 2018'!I1948</f>
        <v>2000</v>
      </c>
      <c r="G198" s="5">
        <f>'Budzet 2018'!J1948</f>
        <v>0</v>
      </c>
      <c r="H198" s="5">
        <f>'Budzet 2018'!K1948</f>
        <v>2000</v>
      </c>
    </row>
    <row r="199" spans="1:12" ht="51" customHeight="1" x14ac:dyDescent="0.2">
      <c r="A199" s="8"/>
      <c r="B199" s="8"/>
      <c r="C199" s="7" t="str">
        <f>'Budzet 2018'!H1950</f>
        <v>ПРОЈЕКАТ 1.10 - Стручни надзор на изградњи спортске сале у Инђији - IV фаза</v>
      </c>
      <c r="D199" s="2"/>
      <c r="E199" s="2"/>
      <c r="F199" s="5">
        <f>'Budzet 2018'!I1953</f>
        <v>2000000</v>
      </c>
      <c r="G199" s="5">
        <f>'Budzet 2018'!J1953</f>
        <v>0</v>
      </c>
      <c r="H199" s="5">
        <f>'Budzet 2018'!K1953</f>
        <v>2000000</v>
      </c>
    </row>
    <row r="200" spans="1:12" ht="51" customHeight="1" x14ac:dyDescent="0.2">
      <c r="A200" s="8"/>
      <c r="B200" s="8"/>
      <c r="C200" s="7" t="str">
        <f>'Budzet 2018'!H1960</f>
        <v>ПРОЈЕКАТ 1.25 - Реконструкција крова ФК Љуково</v>
      </c>
      <c r="D200" s="2"/>
      <c r="E200" s="2"/>
      <c r="F200" s="5">
        <f>'Budzet 2018'!I1963</f>
        <v>1000000</v>
      </c>
      <c r="G200" s="5"/>
      <c r="H200" s="5">
        <f>SUM(F200:G200)</f>
        <v>1000000</v>
      </c>
    </row>
    <row r="201" spans="1:12" ht="26.25" customHeight="1" x14ac:dyDescent="0.2">
      <c r="A201" s="8"/>
      <c r="B201" s="8"/>
      <c r="C201" s="7" t="str">
        <f>'Budzet 2018'!H1965</f>
        <v>ПРОЈЕКАТ 1.12 "ИНВЕСТИЦИЈЕ У СПОРТУ"</v>
      </c>
      <c r="D201" s="2"/>
      <c r="E201" s="2"/>
      <c r="F201" s="5">
        <f>'Budzet 2018'!I1971</f>
        <v>1701000</v>
      </c>
      <c r="G201" s="5">
        <f>'Budzet 2018'!J1971</f>
        <v>0</v>
      </c>
      <c r="H201" s="5">
        <f>'Budzet 2018'!K1971</f>
        <v>1701000</v>
      </c>
    </row>
    <row r="202" spans="1:12" ht="45" x14ac:dyDescent="0.2">
      <c r="A202" s="8"/>
      <c r="B202" s="8"/>
      <c r="C202" s="7" t="str">
        <f>'Budzet 2018'!H1955</f>
        <v>ПРОЈЕКАТ 1.11 - Санација отвореног школског терена у ОШ "Бранко Радичевић" у Марадику</v>
      </c>
      <c r="D202" s="2"/>
      <c r="E202" s="2"/>
      <c r="F202" s="5">
        <f>'Budzet 2018'!I1958</f>
        <v>2000000</v>
      </c>
      <c r="G202" s="5">
        <f>'Budzet 2018'!J1958</f>
        <v>0</v>
      </c>
      <c r="H202" s="5">
        <f>'Budzet 2018'!K1958</f>
        <v>2000000</v>
      </c>
    </row>
    <row r="203" spans="1:12" ht="56.25" x14ac:dyDescent="0.2">
      <c r="A203" s="75" t="s">
        <v>296</v>
      </c>
      <c r="B203" s="75"/>
      <c r="C203" s="76" t="s">
        <v>659</v>
      </c>
      <c r="D203" s="76" t="s">
        <v>727</v>
      </c>
      <c r="E203" s="76" t="s">
        <v>660</v>
      </c>
      <c r="F203" s="77">
        <f>SUM(F204:F222)</f>
        <v>547849625.51999998</v>
      </c>
      <c r="G203" s="77">
        <f t="shared" ref="G203:H203" si="18">SUM(G204:G222)</f>
        <v>0</v>
      </c>
      <c r="H203" s="77">
        <f t="shared" si="18"/>
        <v>547849625.51999998</v>
      </c>
      <c r="L203" s="538"/>
    </row>
    <row r="204" spans="1:12" ht="33.75" x14ac:dyDescent="0.2">
      <c r="A204" s="12"/>
      <c r="B204" s="12" t="s">
        <v>323</v>
      </c>
      <c r="C204" s="7" t="str">
        <f>'Budzet 2018'!H548</f>
        <v>Функционисање локалне самоуправе и градских општина</v>
      </c>
      <c r="D204" s="7" t="s">
        <v>661</v>
      </c>
      <c r="E204" s="7" t="s">
        <v>662</v>
      </c>
      <c r="F204" s="4">
        <f>'Budzet 2018'!I580</f>
        <v>439447708.31999999</v>
      </c>
      <c r="G204" s="4">
        <f>'Budzet 2018'!J580</f>
        <v>0</v>
      </c>
      <c r="H204" s="4">
        <f>'Budzet 2018'!K580</f>
        <v>439447708.31999999</v>
      </c>
    </row>
    <row r="205" spans="1:12" ht="45" x14ac:dyDescent="0.2">
      <c r="A205" s="12"/>
      <c r="B205" s="12" t="s">
        <v>329</v>
      </c>
      <c r="C205" s="7" t="str">
        <f>'Budzet 2018'!H648</f>
        <v>Функционисање месних заједница</v>
      </c>
      <c r="D205" s="7" t="s">
        <v>728</v>
      </c>
      <c r="E205" s="7" t="s">
        <v>663</v>
      </c>
      <c r="F205" s="4">
        <f>'Budzet 2018'!I673</f>
        <v>30274487</v>
      </c>
      <c r="G205" s="4">
        <f>'Budzet 2018'!J673</f>
        <v>0</v>
      </c>
      <c r="H205" s="4">
        <f>'Budzet 2018'!K673</f>
        <v>30274487</v>
      </c>
    </row>
    <row r="206" spans="1:12" ht="33.75" x14ac:dyDescent="0.2">
      <c r="A206" s="12"/>
      <c r="B206" s="12" t="s">
        <v>512</v>
      </c>
      <c r="C206" s="7" t="str">
        <f>'Budzet 2018'!H306</f>
        <v>Општинско/градско правобранилаштво</v>
      </c>
      <c r="D206" s="7" t="s">
        <v>664</v>
      </c>
      <c r="E206" s="7" t="s">
        <v>665</v>
      </c>
      <c r="F206" s="4">
        <f>'Budzet 2018'!I327</f>
        <v>4403400</v>
      </c>
      <c r="G206" s="4">
        <f>'Budzet 2018'!J327</f>
        <v>0</v>
      </c>
      <c r="H206" s="4">
        <f>'Budzet 2018'!K327</f>
        <v>4403400</v>
      </c>
    </row>
    <row r="207" spans="1:12" x14ac:dyDescent="0.2">
      <c r="A207" s="12"/>
      <c r="B207" s="12" t="s">
        <v>538</v>
      </c>
      <c r="C207" s="7" t="str">
        <f>'Budzet 2018'!H357</f>
        <v>Текућа буџетска резерва</v>
      </c>
      <c r="D207" s="2"/>
      <c r="E207" s="2"/>
      <c r="F207" s="5">
        <f>'Budzet 2018'!I364</f>
        <v>28824198</v>
      </c>
      <c r="G207" s="5">
        <f>'Budzet 2018'!J364</f>
        <v>0</v>
      </c>
      <c r="H207" s="10">
        <f t="shared" ref="H207:H222" si="19">SUM(F207:G207)</f>
        <v>28824198</v>
      </c>
    </row>
    <row r="208" spans="1:12" x14ac:dyDescent="0.2">
      <c r="A208" s="12"/>
      <c r="B208" s="12" t="s">
        <v>325</v>
      </c>
      <c r="C208" s="7" t="str">
        <f>'Budzet 2018'!H367</f>
        <v>Стална буџетска резерва</v>
      </c>
      <c r="D208" s="2"/>
      <c r="E208" s="2"/>
      <c r="F208" s="5">
        <f>'Budzet 2018'!I372</f>
        <v>1800000</v>
      </c>
      <c r="G208" s="5">
        <f>'Budzet 2018'!J372</f>
        <v>0</v>
      </c>
      <c r="H208" s="10">
        <f t="shared" si="19"/>
        <v>1800000</v>
      </c>
    </row>
    <row r="209" spans="1:12" x14ac:dyDescent="0.2">
      <c r="A209" s="12"/>
      <c r="B209" s="12" t="s">
        <v>1074</v>
      </c>
      <c r="C209" s="7" t="str">
        <f>'Budzet 2018'!H606</f>
        <v>Сервисирање јавног дуга</v>
      </c>
      <c r="D209" s="2"/>
      <c r="E209" s="2"/>
      <c r="F209" s="5">
        <f>'Budzet 2018'!I609</f>
        <v>101000</v>
      </c>
      <c r="G209" s="5">
        <f>'Budzet 2018'!J609</f>
        <v>0</v>
      </c>
      <c r="H209" s="5">
        <f>'Budzet 2018'!K609</f>
        <v>101000</v>
      </c>
    </row>
    <row r="210" spans="1:12" ht="33.75" x14ac:dyDescent="0.2">
      <c r="A210" s="12"/>
      <c r="B210" s="12"/>
      <c r="C210" s="19" t="str">
        <f>'Budzet 2018'!H407</f>
        <v>ПРОЈЕКАТ  1 "ПРОЈЕКАТ ЗА ПОБОЉШАЊЕ УСЛОВА РОМСКЕ ПОПУЛАЦИЈЕ"</v>
      </c>
      <c r="D210" s="2"/>
      <c r="E210" s="2"/>
      <c r="F210" s="5">
        <f>'Budzet 2018'!I412</f>
        <v>610597</v>
      </c>
      <c r="G210" s="5">
        <f>'Budzet 2018'!J412</f>
        <v>0</v>
      </c>
      <c r="H210" s="5">
        <f>'Budzet 2018'!K412</f>
        <v>610597</v>
      </c>
    </row>
    <row r="211" spans="1:12" ht="55.5" customHeight="1" x14ac:dyDescent="0.2">
      <c r="A211" s="12"/>
      <c r="B211" s="12"/>
      <c r="C211" s="19" t="str">
        <f>'Budzet 2018'!H414</f>
        <v xml:space="preserve">ПРОЈЕКАТ  2 "Л А П - за унапређење образовања, запошљавања, здравља и становања Рома у општини Инђија 2016-2020. година" </v>
      </c>
      <c r="D211" s="2"/>
      <c r="E211" s="2"/>
      <c r="F211" s="5">
        <f>'Budzet 2018'!I418</f>
        <v>10000000</v>
      </c>
      <c r="G211" s="5">
        <f>'Budzet 2018'!J418</f>
        <v>0</v>
      </c>
      <c r="H211" s="5">
        <f>'Budzet 2018'!K418</f>
        <v>10000000</v>
      </c>
      <c r="L211" s="538"/>
    </row>
    <row r="212" spans="1:12" ht="37.5" customHeight="1" x14ac:dyDescent="0.2">
      <c r="A212" s="12"/>
      <c r="B212" s="12"/>
      <c r="C212" s="554" t="s">
        <v>968</v>
      </c>
      <c r="D212" s="2"/>
      <c r="E212" s="2"/>
      <c r="F212" s="5">
        <f>SUM('Budzet 2018'!I588)</f>
        <v>4053235.2</v>
      </c>
      <c r="G212" s="5"/>
      <c r="H212" s="5">
        <f>SUM(F212:G212)</f>
        <v>4053235.2</v>
      </c>
      <c r="L212" s="538"/>
    </row>
    <row r="213" spans="1:12" ht="47.25" customHeight="1" x14ac:dyDescent="0.2">
      <c r="A213" s="12"/>
      <c r="B213" s="12"/>
      <c r="C213" s="554" t="str">
        <f>'Budzet 2018'!H593</f>
        <v>УКУПНО  ПРОЈЕКАТ "Реконструкција зграде Месне заједнице у Старом Сланкамену"</v>
      </c>
      <c r="D213" s="2"/>
      <c r="E213" s="2"/>
      <c r="F213" s="5">
        <f>'Budzet 2018'!I595</f>
        <v>600000</v>
      </c>
      <c r="G213" s="5">
        <f>'Budzet 2018'!J595</f>
        <v>0</v>
      </c>
      <c r="H213" s="5">
        <f>'Budzet 2018'!K595</f>
        <v>600000</v>
      </c>
      <c r="L213" s="538"/>
    </row>
    <row r="214" spans="1:12" ht="56.25" customHeight="1" x14ac:dyDescent="0.2">
      <c r="A214" s="12"/>
      <c r="B214" s="12"/>
      <c r="C214" s="19" t="str">
        <f>'Budzet 2018'!H597</f>
        <v>ПРОЈЕКАТ "Израда пројектне документације, адаптација и надоградња II спрата "Виле Љубица" у Сутомору "</v>
      </c>
      <c r="D214" s="2"/>
      <c r="E214" s="2"/>
      <c r="F214" s="5">
        <f>'Budzet 2018'!I603</f>
        <v>3000</v>
      </c>
      <c r="G214" s="5">
        <f>'Budzet 2018'!J603</f>
        <v>0</v>
      </c>
      <c r="H214" s="5">
        <f>'Budzet 2018'!K603</f>
        <v>3000</v>
      </c>
    </row>
    <row r="215" spans="1:12" ht="33.75" x14ac:dyDescent="0.2">
      <c r="A215" s="12"/>
      <c r="B215" s="12"/>
      <c r="C215" s="19" t="str">
        <f>'Budzet 2018'!H675</f>
        <v>ПРОЈЕКАТ 1 "ОПРЕМАЊЕ ДОМА КУЛТУРЕ У МАРАДИКУ "</v>
      </c>
      <c r="D215" s="2"/>
      <c r="E215" s="2"/>
      <c r="F215" s="5">
        <f>'Budzet 2018'!I679</f>
        <v>2000</v>
      </c>
      <c r="G215" s="5">
        <f>'Budzet 2018'!J679</f>
        <v>0</v>
      </c>
      <c r="H215" s="5">
        <f>'Budzet 2018'!K679</f>
        <v>2000</v>
      </c>
    </row>
    <row r="216" spans="1:12" ht="37.5" customHeight="1" x14ac:dyDescent="0.2">
      <c r="A216" s="12"/>
      <c r="B216" s="12"/>
      <c r="C216" s="19" t="str">
        <f>'Budzet 2018'!H681</f>
        <v>ПРОЈЕКАТ 2 "ИЗГРАДЊА ДОМА КУЛТУРЕ У КРЧЕДИНУ "</v>
      </c>
      <c r="D216" s="2"/>
      <c r="E216" s="2"/>
      <c r="F216" s="5">
        <f>'Budzet 2018'!I683</f>
        <v>1300000</v>
      </c>
      <c r="G216" s="5">
        <f>'Budzet 2018'!J683</f>
        <v>0</v>
      </c>
      <c r="H216" s="5">
        <f>'Budzet 2018'!K683</f>
        <v>1300000</v>
      </c>
    </row>
    <row r="217" spans="1:12" ht="26.25" customHeight="1" x14ac:dyDescent="0.2">
      <c r="A217" s="12"/>
      <c r="B217" s="12"/>
      <c r="C217" s="19" t="str">
        <f>'Budzet 2018'!H692</f>
        <v>ПРОЈЕКАТ 1 "ПОБОЉШАЊЕ СТАНДАРДА СТУДЕНАТА"</v>
      </c>
      <c r="D217" s="2"/>
      <c r="E217" s="2"/>
      <c r="F217" s="5">
        <f>'Budzet 2018'!I699</f>
        <v>11430000</v>
      </c>
      <c r="G217" s="5">
        <f>'Budzet 2018'!J699</f>
        <v>0</v>
      </c>
      <c r="H217" s="10">
        <f t="shared" si="19"/>
        <v>11430000</v>
      </c>
    </row>
    <row r="218" spans="1:12" ht="22.5" x14ac:dyDescent="0.2">
      <c r="A218" s="12"/>
      <c r="B218" s="12"/>
      <c r="C218" s="19" t="str">
        <f>'Budzet 2018'!H703</f>
        <v>ПРОЈЕКАТ 2 "ПОКЛОНИ ЗА ВУКОВЦЕ"</v>
      </c>
      <c r="D218" s="2"/>
      <c r="E218" s="2"/>
      <c r="F218" s="5">
        <f>'Budzet 2018'!I706</f>
        <v>4600000</v>
      </c>
      <c r="G218" s="5">
        <f>'Budzet 2018'!J706</f>
        <v>0</v>
      </c>
      <c r="H218" s="10">
        <f t="shared" si="19"/>
        <v>4600000</v>
      </c>
    </row>
    <row r="219" spans="1:12" ht="33.75" x14ac:dyDescent="0.2">
      <c r="A219" s="12"/>
      <c r="B219" s="12"/>
      <c r="C219" s="19" t="str">
        <f>'Budzet 2018'!H710</f>
        <v>ПРОЈЕКАТ 3 "ПОКЛОНИ ЗА ИСТАКНУТЕ УЧЕНИКЕ И СПОРТИСТЕ"</v>
      </c>
      <c r="D219" s="2"/>
      <c r="E219" s="2"/>
      <c r="F219" s="5">
        <f>'Budzet 2018'!I713</f>
        <v>1400000</v>
      </c>
      <c r="G219" s="5">
        <f>'Budzet 2018'!J713</f>
        <v>0</v>
      </c>
      <c r="H219" s="10">
        <f t="shared" si="19"/>
        <v>1400000</v>
      </c>
    </row>
    <row r="220" spans="1:12" ht="33.75" x14ac:dyDescent="0.2">
      <c r="A220" s="12"/>
      <c r="B220" s="12"/>
      <c r="C220" s="555" t="s">
        <v>974</v>
      </c>
      <c r="D220" s="2"/>
      <c r="E220" s="2"/>
      <c r="F220" s="5">
        <f>SUM('Budzet 2018'!I718)</f>
        <v>2000000</v>
      </c>
      <c r="G220" s="5"/>
      <c r="H220" s="10">
        <f>SUM(F220:G220)</f>
        <v>2000000</v>
      </c>
    </row>
    <row r="221" spans="1:12" ht="22.5" x14ac:dyDescent="0.2">
      <c r="A221" s="12"/>
      <c r="B221" s="12"/>
      <c r="C221" s="19" t="str">
        <f>'Budzet 2018'!H722</f>
        <v>ПРОЈЕКАТ 4 "Набавка "паник тастера"</v>
      </c>
      <c r="D221" s="2"/>
      <c r="E221" s="2"/>
      <c r="F221" s="5">
        <f>'Budzet 2018'!I725</f>
        <v>6000000</v>
      </c>
      <c r="G221" s="5">
        <f>'Budzet 2018'!J725</f>
        <v>0</v>
      </c>
      <c r="H221" s="10">
        <f t="shared" si="19"/>
        <v>6000000</v>
      </c>
    </row>
    <row r="222" spans="1:12" ht="56.25" x14ac:dyDescent="0.2">
      <c r="A222" s="12"/>
      <c r="B222" s="12"/>
      <c r="C222" s="19" t="str">
        <f>'Budzet 2018'!H729</f>
        <v>ПРОЈЕКАТ 5 "Успостављање истраживачког центра Милутин Миланковић у Старом Слакамену"</v>
      </c>
      <c r="D222" s="2"/>
      <c r="E222" s="2"/>
      <c r="F222" s="5">
        <f>'Budzet 2018'!I732</f>
        <v>1000000</v>
      </c>
      <c r="G222" s="5">
        <f>'Budzet 2018'!J732</f>
        <v>0</v>
      </c>
      <c r="H222" s="10">
        <f t="shared" si="19"/>
        <v>1000000</v>
      </c>
    </row>
    <row r="223" spans="1:12" ht="45" x14ac:dyDescent="0.2">
      <c r="A223" s="81">
        <v>2101</v>
      </c>
      <c r="B223" s="81"/>
      <c r="C223" s="76" t="s">
        <v>666</v>
      </c>
      <c r="D223" s="76" t="s">
        <v>667</v>
      </c>
      <c r="E223" s="76"/>
      <c r="F223" s="80">
        <f>SUM(F224:F225)</f>
        <v>81573900</v>
      </c>
      <c r="G223" s="80">
        <f t="shared" ref="G223:H223" si="20">SUM(G224:G225)</f>
        <v>0</v>
      </c>
      <c r="H223" s="80">
        <f t="shared" si="20"/>
        <v>81573900</v>
      </c>
      <c r="L223" s="538"/>
    </row>
    <row r="224" spans="1:12" ht="22.5" x14ac:dyDescent="0.2">
      <c r="A224" s="12"/>
      <c r="B224" s="12" t="s">
        <v>530</v>
      </c>
      <c r="C224" s="2" t="str">
        <f>'Budzet 2018'!H263</f>
        <v>Функционисање Скупштине</v>
      </c>
      <c r="D224" s="2" t="s">
        <v>668</v>
      </c>
      <c r="E224" s="2" t="s">
        <v>669</v>
      </c>
      <c r="F224" s="5">
        <f>'Budzet 2018'!I300</f>
        <v>27647800</v>
      </c>
      <c r="G224" s="5">
        <f>'Budzet 2018'!J300</f>
        <v>0</v>
      </c>
      <c r="H224" s="13">
        <f>SUM(F224:G224)</f>
        <v>27647800</v>
      </c>
    </row>
    <row r="225" spans="1:12" ht="22.5" x14ac:dyDescent="0.2">
      <c r="A225" s="12"/>
      <c r="B225" s="12" t="s">
        <v>536</v>
      </c>
      <c r="C225" s="2" t="str">
        <f>'Budzet 2018'!H333</f>
        <v>Функционисање извршних органа</v>
      </c>
      <c r="D225" s="2" t="s">
        <v>670</v>
      </c>
      <c r="E225" s="2" t="s">
        <v>669</v>
      </c>
      <c r="F225" s="5">
        <f>SUM('Budzet 2018'!I352+'Budzet 2018'!I542)</f>
        <v>53926100</v>
      </c>
      <c r="G225" s="5">
        <f>'Budzet 2018'!J352</f>
        <v>0</v>
      </c>
      <c r="H225" s="13">
        <f>SUM(F225:G225)</f>
        <v>53926100</v>
      </c>
    </row>
    <row r="226" spans="1:12" ht="38.25" customHeight="1" x14ac:dyDescent="0.2">
      <c r="A226" s="218" t="s">
        <v>671</v>
      </c>
      <c r="B226" s="217"/>
      <c r="C226" s="76" t="s">
        <v>807</v>
      </c>
      <c r="D226" s="556"/>
      <c r="E226" s="556"/>
      <c r="F226" s="80">
        <f>SUM(F227:F229)</f>
        <v>54608000</v>
      </c>
      <c r="G226" s="80">
        <f t="shared" ref="G226" si="21">SUM(G228:G229)</f>
        <v>0</v>
      </c>
      <c r="H226" s="80">
        <f>SUM(H227:H229)</f>
        <v>54608000</v>
      </c>
    </row>
    <row r="227" spans="1:12" ht="47.25" customHeight="1" x14ac:dyDescent="0.2">
      <c r="A227" s="1315"/>
      <c r="B227" s="23" t="s">
        <v>1159</v>
      </c>
      <c r="C227" s="7" t="s">
        <v>1175</v>
      </c>
      <c r="D227" s="7" t="s">
        <v>586</v>
      </c>
      <c r="E227" s="7" t="s">
        <v>1176</v>
      </c>
      <c r="F227" s="1317">
        <f>'Budzet 2018'!I622</f>
        <v>53900000</v>
      </c>
      <c r="G227" s="1316"/>
      <c r="H227" s="1317">
        <f>SUM(F227:G227)</f>
        <v>53900000</v>
      </c>
    </row>
    <row r="228" spans="1:12" ht="101.25" x14ac:dyDescent="0.2">
      <c r="A228" s="12"/>
      <c r="B228" s="12"/>
      <c r="C228" s="274" t="str">
        <f>'Budzet 2018'!H741</f>
        <v>ПРОЈЕКАТ 6 "Израда пројектне документације за санацију и извођење радова инвестиционог одржавања и унапређења енергетске ефикасности и противпожарне заштите на објекту техничке школе и гимназије у Инђији"</v>
      </c>
      <c r="D228" s="2"/>
      <c r="E228" s="2"/>
      <c r="F228" s="5">
        <f>'Budzet 2018'!I745</f>
        <v>600000</v>
      </c>
      <c r="G228" s="5">
        <f>'Budzet 2018'!J745</f>
        <v>0</v>
      </c>
      <c r="H228" s="5">
        <f>'Budzet 2018'!K745</f>
        <v>600000</v>
      </c>
    </row>
    <row r="229" spans="1:12" ht="45" x14ac:dyDescent="0.2">
      <c r="A229" s="12"/>
      <c r="B229" s="12"/>
      <c r="C229" s="274" t="str">
        <f>'Budzet 2018'!H749</f>
        <v>ПРОЈЕКАТ 6 "Елаборат енергетске ефикасности зграде Центра за социјални рад "Дунав" у Инђији</v>
      </c>
      <c r="D229" s="2"/>
      <c r="E229" s="2"/>
      <c r="F229" s="5">
        <f>'Budzet 2018'!I754</f>
        <v>108000</v>
      </c>
      <c r="G229" s="5">
        <f>'Budzet 2018'!J754</f>
        <v>0</v>
      </c>
      <c r="H229" s="5">
        <f>'Budzet 2018'!K754</f>
        <v>108000</v>
      </c>
    </row>
    <row r="230" spans="1:12" ht="22.5" x14ac:dyDescent="0.2">
      <c r="A230" s="74"/>
      <c r="B230" s="74"/>
      <c r="C230" s="74" t="s">
        <v>507</v>
      </c>
      <c r="D230" s="74"/>
      <c r="E230" s="74"/>
      <c r="F230" s="82">
        <f>SUM(F7+F10+F55+F68+F72+F81+F85+F148+F156+F159+F162+F172+F175+F183+F203+F223+F226)</f>
        <v>4615329200</v>
      </c>
      <c r="G230" s="82">
        <f>SUM(G7+G10+G55+G68+G72+G81+G85+G148+G156+G159+G162+G172+G175+G183+G203+G223+G226)</f>
        <v>29232800</v>
      </c>
      <c r="H230" s="82">
        <f>SUM(H7+H10+H55+H68+H72+H81+H85+H148+H156+H159+H162+H172+H175+H183+H203+H223+H226)</f>
        <v>4644562000</v>
      </c>
      <c r="L230" s="538"/>
    </row>
    <row r="232" spans="1:12" x14ac:dyDescent="0.2">
      <c r="E232" s="557"/>
      <c r="F232" s="558"/>
      <c r="G232" s="558"/>
      <c r="H232" s="558"/>
    </row>
    <row r="233" spans="1:12" x14ac:dyDescent="0.2">
      <c r="E233" s="557"/>
      <c r="F233" s="558"/>
      <c r="G233" s="558"/>
      <c r="H233" s="558"/>
    </row>
    <row r="234" spans="1:12" x14ac:dyDescent="0.2">
      <c r="E234" s="559"/>
      <c r="F234" s="558"/>
      <c r="G234" s="558"/>
      <c r="H234" s="558"/>
    </row>
  </sheetData>
  <mergeCells count="8">
    <mergeCell ref="A2:H2"/>
    <mergeCell ref="G4:G5"/>
    <mergeCell ref="H4:H5"/>
    <mergeCell ref="A4:B4"/>
    <mergeCell ref="C4:C5"/>
    <mergeCell ref="D4:D5"/>
    <mergeCell ref="E4:E5"/>
    <mergeCell ref="F4:F5"/>
  </mergeCells>
  <pageMargins left="0.11811023622047245" right="0.11811023622047245" top="0.74803149606299213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Budzet 2018</vt:lpstr>
      <vt:lpstr>Посебан део- циљеви и индикатор</vt:lpstr>
    </vt:vector>
  </TitlesOfParts>
  <Company>OU Indjija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Nikolic</dc:creator>
  <cp:lastModifiedBy>Nena Kantar</cp:lastModifiedBy>
  <cp:lastPrinted>2018-12-11T08:15:49Z</cp:lastPrinted>
  <dcterms:created xsi:type="dcterms:W3CDTF">2012-11-06T07:08:44Z</dcterms:created>
  <dcterms:modified xsi:type="dcterms:W3CDTF">2018-12-12T11:01:09Z</dcterms:modified>
</cp:coreProperties>
</file>